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7140" windowWidth="15135" windowHeight="1410" firstSheet="1" activeTab="1"/>
  </bookViews>
  <sheets>
    <sheet name="TR Performance by event data an" sheetId="1" state="hidden" r:id="rId1"/>
    <sheet name="Client Data - Event Level" sheetId="2" r:id="rId2"/>
    <sheet name="Event Benchmark Comparison " sheetId="4" r:id="rId3"/>
    <sheet name="Client Data - Participant Level" sheetId="3" r:id="rId4"/>
    <sheet name="Participant Benchmark Compariso" sheetId="7" r:id="rId5"/>
    <sheet name="Benchmark Tables" sheetId="6" r:id="rId6"/>
  </sheets>
  <definedNames>
    <definedName name="Donors">'Benchmark Tables'!$A$6:$D$9</definedName>
    <definedName name="IND">'Benchmark Tables'!$A$24:$F$27</definedName>
    <definedName name="NP">'Benchmark Tables'!$A$36:$F$39</definedName>
    <definedName name="RIND">'Benchmark Tables'!$A$30:$F$33</definedName>
    <definedName name="table1">'Benchmark Tables'!$A$43:$H$46</definedName>
    <definedName name="TC">'Benchmark Tables'!$A$12:$F$15</definedName>
    <definedName name="TM">'Benchmark Tables'!$A$18:$F$21</definedName>
    <definedName name="TRtypes">'Benchmark Tables'!$A$43:$A$46</definedName>
  </definedNames>
  <calcPr calcId="145621"/>
</workbook>
</file>

<file path=xl/calcChain.xml><?xml version="1.0" encoding="utf-8"?>
<calcChain xmlns="http://schemas.openxmlformats.org/spreadsheetml/2006/main">
  <c r="D28" i="2" l="1"/>
  <c r="D36" i="2" l="1"/>
  <c r="D37" i="2"/>
  <c r="D35" i="2"/>
  <c r="D29" i="2"/>
  <c r="D30" i="2"/>
  <c r="D16" i="2"/>
  <c r="D17" i="2"/>
  <c r="D15" i="2"/>
  <c r="N33" i="3" l="1"/>
  <c r="N30" i="3"/>
  <c r="N27" i="3"/>
  <c r="N24" i="3"/>
  <c r="N21" i="3"/>
  <c r="N17" i="3"/>
  <c r="N14" i="3"/>
  <c r="N11" i="3"/>
  <c r="N8" i="3"/>
  <c r="N5" i="3"/>
  <c r="I49" i="3"/>
  <c r="I46" i="3"/>
  <c r="I43" i="3"/>
  <c r="I40" i="3"/>
  <c r="I37" i="3"/>
  <c r="I33" i="3"/>
  <c r="I30" i="3"/>
  <c r="I27" i="3"/>
  <c r="I24" i="3"/>
  <c r="I21" i="3"/>
  <c r="I17" i="3"/>
  <c r="I14" i="3"/>
  <c r="I11" i="3"/>
  <c r="I8" i="3"/>
  <c r="I5" i="3"/>
  <c r="D11" i="3"/>
  <c r="D8" i="3"/>
  <c r="D5" i="3"/>
  <c r="D23" i="2"/>
  <c r="D22" i="2"/>
  <c r="D21" i="2"/>
  <c r="H10" i="2"/>
  <c r="H9" i="2"/>
  <c r="H8" i="2"/>
  <c r="G10" i="2"/>
  <c r="G9" i="2"/>
  <c r="G8" i="2"/>
  <c r="F10" i="2"/>
  <c r="F9" i="2"/>
  <c r="F8" i="2"/>
  <c r="C36" i="7" l="1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E27" i="4"/>
  <c r="E23" i="4"/>
  <c r="E19" i="4"/>
  <c r="E15" i="4"/>
  <c r="E11" i="4"/>
  <c r="B4" i="7" l="1"/>
  <c r="C11" i="7" s="1"/>
  <c r="B3" i="7"/>
  <c r="B4" i="4"/>
  <c r="B3" i="4"/>
  <c r="B23" i="4"/>
  <c r="A19" i="2"/>
  <c r="A26" i="2"/>
  <c r="A33" i="2"/>
  <c r="A13" i="2"/>
  <c r="A6" i="2"/>
  <c r="E18" i="4"/>
  <c r="E8" i="4"/>
  <c r="D11" i="7"/>
  <c r="D10" i="7"/>
  <c r="D9" i="7"/>
  <c r="C8" i="7"/>
  <c r="D8" i="7"/>
  <c r="D7" i="7"/>
  <c r="E14" i="4"/>
  <c r="E22" i="4"/>
  <c r="C7" i="7" l="1"/>
  <c r="E26" i="4"/>
  <c r="A7" i="4"/>
  <c r="E10" i="4"/>
  <c r="E9" i="4"/>
  <c r="AB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C9" i="7" l="1"/>
  <c r="C10" i="7"/>
  <c r="B9" i="4" l="1"/>
  <c r="C23" i="4"/>
  <c r="C10" i="4"/>
  <c r="D10" i="4"/>
  <c r="B10" i="4"/>
  <c r="C11" i="4"/>
  <c r="D11" i="4"/>
  <c r="B11" i="4"/>
  <c r="C9" i="4"/>
  <c r="D9" i="4"/>
  <c r="C15" i="4"/>
  <c r="D15" i="4"/>
  <c r="B15" i="4"/>
  <c r="C19" i="4"/>
  <c r="D19" i="4"/>
  <c r="B19" i="4"/>
  <c r="C27" i="4"/>
  <c r="D27" i="4"/>
  <c r="B27" i="4"/>
  <c r="D23" i="4"/>
</calcChain>
</file>

<file path=xl/sharedStrings.xml><?xml version="1.0" encoding="utf-8"?>
<sst xmlns="http://schemas.openxmlformats.org/spreadsheetml/2006/main" count="287" uniqueCount="111">
  <si>
    <t>Public Event Name</t>
  </si>
  <si>
    <t>Event Goal($)</t>
  </si>
  <si>
    <t>Event Date</t>
  </si>
  <si>
    <t>Teams</t>
  </si>
  <si>
    <t>Total Online Fees Paid</t>
  </si>
  <si>
    <t>Total Online Gifts($)</t>
  </si>
  <si>
    <t>Online Gifts</t>
  </si>
  <si>
    <t>Total of All Confirmed Gifts($)</t>
  </si>
  <si>
    <t>All Confirmed Gifts</t>
  </si>
  <si>
    <t>Team pages with custom URL</t>
  </si>
  <si>
    <t>Captains</t>
  </si>
  <si>
    <t>Active Registrations</t>
  </si>
  <si>
    <t>Self Donors</t>
  </si>
  <si>
    <t>Personal pages with custom URL</t>
  </si>
  <si>
    <t>Total Fees Paid</t>
  </si>
  <si>
    <t>Total Upsells Purchased</t>
  </si>
  <si>
    <t>Total From Participant($)</t>
  </si>
  <si>
    <t>Number From Participant</t>
  </si>
  <si>
    <t>Total Not From Participant($)</t>
  </si>
  <si>
    <t>Number Not From Participant</t>
  </si>
  <si>
    <t>Gifts</t>
  </si>
  <si>
    <t>Average All Gifts</t>
  </si>
  <si>
    <t>Total Event Gifts($)</t>
  </si>
  <si>
    <t>Event Gifts</t>
  </si>
  <si>
    <t>Total Team Gifts($)</t>
  </si>
  <si>
    <t>Team Gifts</t>
  </si>
  <si>
    <t>Average Online Gift($)</t>
  </si>
  <si>
    <t>Fundraisers</t>
  </si>
  <si>
    <t>Go the Distance for Autism Bike Event - Alpine Learning Group</t>
  </si>
  <si>
    <t>Go the Distance for Autism Bike Event - REED Academy</t>
  </si>
  <si>
    <t>Go the Distance for Autism Bike Event - Garden Academy</t>
  </si>
  <si>
    <t>Go the Distance for Autism Bike Event - EPIC</t>
  </si>
  <si>
    <t>Go the Distance for Autism Bike Event - All Four Schools</t>
  </si>
  <si>
    <t>2013 Go the Distance for Autism Bike Event - Alpine Learning Group</t>
  </si>
  <si>
    <t>2013 Go the Distance for Autism Bike Event - All Four Schools</t>
  </si>
  <si>
    <t>2013 Go the Distance for Autism Bike Event - EPIC</t>
  </si>
  <si>
    <t>2013 Go the Distance for Autism Bike Event - Garden Academy</t>
  </si>
  <si>
    <t>2013 Go the Distance for Autism Bike Event - REED Academy</t>
  </si>
  <si>
    <t>2014 Go the Distance for Autism Bike Event - All Four Schools</t>
  </si>
  <si>
    <t>2014 Go the Distance for Autism Bike Event - REED Academy</t>
  </si>
  <si>
    <t>2014 Go the Distance for Autism Bike Event - Alpine Learning Group</t>
  </si>
  <si>
    <t>2014 Go the Distance for Autism Bike Event - EPIC</t>
  </si>
  <si>
    <t>2014 Go the Distance for Autism Bike Event - Garden Academy</t>
  </si>
  <si>
    <t>Total not from participants</t>
  </si>
  <si>
    <t>Total fees paid</t>
  </si>
  <si>
    <t>Total Fees Paid (Registration Fees)</t>
  </si>
  <si>
    <t xml:space="preserve">% of Population Fundraising </t>
  </si>
  <si>
    <t xml:space="preserve">Total Online Gifts </t>
  </si>
  <si>
    <t xml:space="preserve">Revenue Distribution </t>
  </si>
  <si>
    <t xml:space="preserve">% of Participants Returning from last year </t>
  </si>
  <si>
    <t xml:space="preserve">% of Participants Sending Emails </t>
  </si>
  <si>
    <t xml:space="preserve">Is Prior Participant </t>
  </si>
  <si>
    <t>Retention</t>
  </si>
  <si>
    <t xml:space="preserve">Emails Sent &gt; 0 </t>
  </si>
  <si>
    <t xml:space="preserve">% of Participants Sending Email </t>
  </si>
  <si>
    <t xml:space="preserve">Avg. Online Donation Amount </t>
  </si>
  <si>
    <t xml:space="preserve">Total from participant </t>
  </si>
  <si>
    <t xml:space="preserve">Average Online Donation Amount </t>
  </si>
  <si>
    <t xml:space="preserve">% of Participants Fundraising Online </t>
  </si>
  <si>
    <t xml:space="preserve">Fundraising </t>
  </si>
  <si>
    <t>Registration Fee</t>
  </si>
  <si>
    <t xml:space="preserve">Self Donations </t>
  </si>
  <si>
    <t>%of Population Fundraising</t>
  </si>
  <si>
    <t>Avg. Online Donation Amount</t>
  </si>
  <si>
    <t xml:space="preserve">Fundraising Self - Donor </t>
  </si>
  <si>
    <t xml:space="preserve">Participating Donor </t>
  </si>
  <si>
    <t>Non Self-Donors</t>
  </si>
  <si>
    <t xml:space="preserve">Team Captain </t>
  </si>
  <si>
    <t xml:space="preserve">Team Member </t>
  </si>
  <si>
    <t xml:space="preserve">Individual </t>
  </si>
  <si>
    <t xml:space="preserve">Returning Individual </t>
  </si>
  <si>
    <t xml:space="preserve">New Participant </t>
  </si>
  <si>
    <t xml:space="preserve">Average Dollars Raised Per Participant </t>
  </si>
  <si>
    <t xml:space="preserve">Average Number of Gifts Per Participant </t>
  </si>
  <si>
    <t>Average Online Gift (Donation Amount)</t>
  </si>
  <si>
    <t xml:space="preserve">Fundraising Self- Donor </t>
  </si>
  <si>
    <t>Participating Self - Donor</t>
  </si>
  <si>
    <t xml:space="preserve">Non- Self Donor </t>
  </si>
  <si>
    <t xml:space="preserve">Total with at least 1 online gift </t>
  </si>
  <si>
    <t xml:space="preserve">Total All Confirmed Gifts ($) </t>
  </si>
  <si>
    <t xml:space="preserve">Total Returning Participants </t>
  </si>
  <si>
    <t xml:space="preserve">Total All Online Gifts ($) </t>
  </si>
  <si>
    <t xml:space="preserve">Online Gifts </t>
  </si>
  <si>
    <t xml:space="preserve">Total All Gifts </t>
  </si>
  <si>
    <t xml:space="preserve">Total with at least 1 email sent </t>
  </si>
  <si>
    <t xml:space="preserve">Total New Participants </t>
  </si>
  <si>
    <t>Total Team Captains</t>
  </si>
  <si>
    <t>Individual Participant</t>
  </si>
  <si>
    <t>Total Team Members</t>
  </si>
  <si>
    <t>Total Individuals</t>
  </si>
  <si>
    <t>Total Fundraising Self-Donors</t>
  </si>
  <si>
    <t>Total Paticipating Self-Donors</t>
  </si>
  <si>
    <t>Total Non Self-Donors</t>
  </si>
  <si>
    <t>Total not from participant (Fundraising)</t>
  </si>
  <si>
    <t>Cycle</t>
  </si>
  <si>
    <t>5K</t>
  </si>
  <si>
    <t>Walk</t>
  </si>
  <si>
    <t>Endurance</t>
  </si>
  <si>
    <t>Event Name:</t>
  </si>
  <si>
    <t>Client Name:</t>
  </si>
  <si>
    <t xml:space="preserve">Event Type: </t>
  </si>
  <si>
    <t>Total from Participant (self -donor)</t>
  </si>
  <si>
    <t xml:space="preserve">Client Name: </t>
  </si>
  <si>
    <t>TABLES</t>
  </si>
  <si>
    <t>Peer to Peer Benchmark Report</t>
  </si>
  <si>
    <t xml:space="preserve">Event Name: </t>
  </si>
  <si>
    <t>Client Data - Event Level</t>
  </si>
  <si>
    <t>Client Data - Participant Level</t>
  </si>
  <si>
    <t>Event Level Benchmark Comparisons</t>
  </si>
  <si>
    <t>Participant Level Benchmark Comparisons</t>
  </si>
  <si>
    <t>% of Participants Returning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</si>
</sst>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.00"/>
    <numFmt numFmtId="165" formatCode="&quot;$&quot;#,##0"/>
    <numFmt numFmtId="166" formatCode="_(* #,##0_);_(* \(#,##0\);_(* &quot;-&quot;??_);_(@_)"/>
  </numFmts>
  <fonts count="18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3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1"/>
      <color rgb="FF006100"/>
      <name val="Century Gothic"/>
      <family val="2"/>
      <scheme val="minor"/>
    </font>
    <font>
      <sz val="11"/>
      <color rgb="FF9C0006"/>
      <name val="Century Gothic"/>
      <family val="2"/>
      <scheme val="minor"/>
    </font>
    <font>
      <sz val="11"/>
      <color rgb="FF9C6500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sz val="11"/>
      <color rgb="FFFA7D00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rgb="FFFF0000"/>
      <name val="Century Gothic"/>
      <family val="2"/>
      <scheme val="minor"/>
    </font>
    <font>
      <i/>
      <sz val="11"/>
      <color rgb="FF7F7F7F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2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2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24">
    <xf numFmtId="0" fontId="0" fillId="0" borderId="0" xfId="0"/>
    <xf numFmtId="22" fontId="0" fillId="0" borderId="0" xfId="0" applyNumberFormat="1"/>
    <xf numFmtId="8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wrapText="1"/>
    </xf>
    <xf numFmtId="0" fontId="0" fillId="34" borderId="0" xfId="0" applyFill="1"/>
    <xf numFmtId="10" fontId="0" fillId="34" borderId="0" xfId="1" applyNumberFormat="1" applyFont="1" applyFill="1"/>
    <xf numFmtId="0" fontId="0" fillId="37" borderId="0" xfId="0" applyFill="1"/>
    <xf numFmtId="0" fontId="16" fillId="37" borderId="0" xfId="0" applyFont="1" applyFill="1" applyAlignment="1"/>
    <xf numFmtId="0" fontId="0" fillId="35" borderId="0" xfId="0" applyFill="1" applyAlignment="1">
      <alignment wrapText="1"/>
    </xf>
    <xf numFmtId="2" fontId="0" fillId="0" borderId="0" xfId="0" applyNumberFormat="1"/>
    <xf numFmtId="10" fontId="0" fillId="36" borderId="0" xfId="0" applyNumberFormat="1" applyFill="1"/>
    <xf numFmtId="164" fontId="0" fillId="37" borderId="0" xfId="0" applyNumberFormat="1" applyFill="1"/>
    <xf numFmtId="2" fontId="0" fillId="37" borderId="0" xfId="0" applyNumberFormat="1" applyFill="1"/>
    <xf numFmtId="0" fontId="0" fillId="33" borderId="10" xfId="0" applyFill="1" applyBorder="1" applyAlignment="1">
      <alignment wrapText="1"/>
    </xf>
    <xf numFmtId="0" fontId="0" fillId="35" borderId="10" xfId="0" applyFill="1" applyBorder="1" applyAlignment="1">
      <alignment wrapText="1"/>
    </xf>
    <xf numFmtId="0" fontId="0" fillId="37" borderId="10" xfId="0" applyFill="1" applyBorder="1" applyAlignment="1">
      <alignment horizontal="right"/>
    </xf>
    <xf numFmtId="0" fontId="0" fillId="37" borderId="10" xfId="0" applyFill="1" applyBorder="1"/>
    <xf numFmtId="165" fontId="0" fillId="37" borderId="10" xfId="0" applyNumberFormat="1" applyFill="1" applyBorder="1" applyAlignment="1">
      <alignment horizontal="right"/>
    </xf>
    <xf numFmtId="164" fontId="0" fillId="35" borderId="10" xfId="0" applyNumberFormat="1" applyFill="1" applyBorder="1" applyAlignment="1">
      <alignment wrapText="1"/>
    </xf>
    <xf numFmtId="164" fontId="0" fillId="33" borderId="10" xfId="0" applyNumberFormat="1" applyFill="1" applyBorder="1" applyAlignment="1">
      <alignment wrapText="1"/>
    </xf>
    <xf numFmtId="0" fontId="0" fillId="40" borderId="0" xfId="0" applyFill="1" applyAlignment="1">
      <alignment wrapText="1"/>
    </xf>
    <xf numFmtId="0" fontId="0" fillId="40" borderId="10" xfId="0" applyFill="1" applyBorder="1" applyAlignment="1">
      <alignment wrapText="1"/>
    </xf>
    <xf numFmtId="0" fontId="0" fillId="41" borderId="0" xfId="0" applyFill="1" applyAlignment="1">
      <alignment wrapText="1"/>
    </xf>
    <xf numFmtId="0" fontId="0" fillId="41" borderId="10" xfId="0" applyFill="1" applyBorder="1" applyAlignment="1">
      <alignment wrapText="1"/>
    </xf>
    <xf numFmtId="0" fontId="16" fillId="39" borderId="10" xfId="0" applyFont="1" applyFill="1" applyBorder="1" applyAlignment="1">
      <alignment wrapText="1"/>
    </xf>
    <xf numFmtId="165" fontId="0" fillId="0" borderId="0" xfId="0" applyNumberFormat="1"/>
    <xf numFmtId="6" fontId="0" fillId="0" borderId="0" xfId="0" applyNumberFormat="1"/>
    <xf numFmtId="166" fontId="0" fillId="0" borderId="0" xfId="43" applyNumberFormat="1" applyFont="1"/>
    <xf numFmtId="0" fontId="0" fillId="42" borderId="0" xfId="0" applyFill="1"/>
    <xf numFmtId="165" fontId="0" fillId="42" borderId="0" xfId="0" applyNumberFormat="1" applyFill="1"/>
    <xf numFmtId="6" fontId="0" fillId="42" borderId="0" xfId="0" applyNumberFormat="1" applyFill="1"/>
    <xf numFmtId="8" fontId="0" fillId="42" borderId="0" xfId="0" applyNumberFormat="1" applyFill="1"/>
    <xf numFmtId="166" fontId="0" fillId="42" borderId="0" xfId="43" applyNumberFormat="1" applyFont="1" applyFill="1"/>
    <xf numFmtId="10" fontId="16" fillId="43" borderId="10" xfId="0" applyNumberFormat="1" applyFont="1" applyFill="1" applyBorder="1"/>
    <xf numFmtId="8" fontId="16" fillId="43" borderId="10" xfId="0" applyNumberFormat="1" applyFont="1" applyFill="1" applyBorder="1"/>
    <xf numFmtId="10" fontId="16" fillId="43" borderId="10" xfId="1" applyNumberFormat="1" applyFont="1" applyFill="1" applyBorder="1" applyAlignment="1">
      <alignment horizontal="right"/>
    </xf>
    <xf numFmtId="10" fontId="16" fillId="43" borderId="10" xfId="1" applyNumberFormat="1" applyFont="1" applyFill="1" applyBorder="1"/>
    <xf numFmtId="10" fontId="0" fillId="43" borderId="10" xfId="1" applyNumberFormat="1" applyFont="1" applyFill="1" applyBorder="1"/>
    <xf numFmtId="6" fontId="0" fillId="0" borderId="10" xfId="0" applyNumberFormat="1" applyBorder="1"/>
    <xf numFmtId="166" fontId="0" fillId="0" borderId="10" xfId="43" applyNumberFormat="1" applyFont="1" applyBorder="1"/>
    <xf numFmtId="9" fontId="16" fillId="43" borderId="10" xfId="0" applyNumberFormat="1" applyFont="1" applyFill="1" applyBorder="1"/>
    <xf numFmtId="0" fontId="0" fillId="37" borderId="0" xfId="0" applyFill="1" applyAlignment="1">
      <alignment wrapText="1"/>
    </xf>
    <xf numFmtId="0" fontId="0" fillId="43" borderId="0" xfId="0" applyFill="1"/>
    <xf numFmtId="0" fontId="0" fillId="34" borderId="0" xfId="0" applyFill="1" applyAlignment="1">
      <alignment wrapText="1"/>
    </xf>
    <xf numFmtId="164" fontId="0" fillId="43" borderId="10" xfId="0" applyNumberFormat="1" applyFill="1" applyBorder="1"/>
    <xf numFmtId="0" fontId="0" fillId="33" borderId="0" xfId="0" applyFill="1" applyAlignment="1">
      <alignment wrapText="1"/>
    </xf>
    <xf numFmtId="0" fontId="16" fillId="0" borderId="0" xfId="0" applyFont="1" applyFill="1"/>
    <xf numFmtId="2" fontId="0" fillId="43" borderId="10" xfId="0" applyNumberFormat="1" applyFill="1" applyBorder="1"/>
    <xf numFmtId="0" fontId="0" fillId="0" borderId="12" xfId="0" applyBorder="1"/>
    <xf numFmtId="164" fontId="0" fillId="41" borderId="12" xfId="0" applyNumberFormat="1" applyFill="1" applyBorder="1"/>
    <xf numFmtId="0" fontId="0" fillId="0" borderId="13" xfId="0" applyBorder="1"/>
    <xf numFmtId="164" fontId="0" fillId="38" borderId="12" xfId="0" applyNumberFormat="1" applyFill="1" applyBorder="1"/>
    <xf numFmtId="0" fontId="0" fillId="37" borderId="13" xfId="0" applyFill="1" applyBorder="1"/>
    <xf numFmtId="0" fontId="16" fillId="43" borderId="15" xfId="0" applyFont="1" applyFill="1" applyBorder="1"/>
    <xf numFmtId="0" fontId="16" fillId="43" borderId="17" xfId="0" applyFont="1" applyFill="1" applyBorder="1"/>
    <xf numFmtId="0" fontId="16" fillId="43" borderId="10" xfId="0" applyFont="1" applyFill="1" applyBorder="1" applyAlignment="1">
      <alignment horizontal="center" wrapText="1"/>
    </xf>
    <xf numFmtId="164" fontId="16" fillId="43" borderId="10" xfId="0" applyNumberFormat="1" applyFont="1" applyFill="1" applyBorder="1" applyAlignment="1">
      <alignment horizontal="center" wrapText="1"/>
    </xf>
    <xf numFmtId="0" fontId="0" fillId="0" borderId="0" xfId="0" applyFill="1"/>
    <xf numFmtId="0" fontId="0" fillId="42" borderId="12" xfId="0" applyFill="1" applyBorder="1" applyAlignment="1">
      <alignment horizontal="left" indent="1"/>
    </xf>
    <xf numFmtId="0" fontId="0" fillId="42" borderId="11" xfId="0" applyFill="1" applyBorder="1"/>
    <xf numFmtId="0" fontId="0" fillId="42" borderId="12" xfId="0" applyFill="1" applyBorder="1"/>
    <xf numFmtId="0" fontId="0" fillId="42" borderId="13" xfId="0" applyFill="1" applyBorder="1"/>
    <xf numFmtId="164" fontId="0" fillId="41" borderId="11" xfId="0" applyNumberFormat="1" applyFill="1" applyBorder="1"/>
    <xf numFmtId="164" fontId="0" fillId="41" borderId="13" xfId="0" applyNumberFormat="1" applyFill="1" applyBorder="1"/>
    <xf numFmtId="9" fontId="0" fillId="41" borderId="13" xfId="1" applyFont="1" applyFill="1" applyBorder="1"/>
    <xf numFmtId="0" fontId="0" fillId="37" borderId="0" xfId="0" applyFill="1" applyBorder="1" applyAlignment="1">
      <alignment horizontal="left"/>
    </xf>
    <xf numFmtId="0" fontId="16" fillId="37" borderId="0" xfId="0" applyFont="1" applyFill="1" applyAlignment="1">
      <alignment horizontal="left"/>
    </xf>
    <xf numFmtId="0" fontId="0" fillId="42" borderId="18" xfId="0" applyFont="1" applyFill="1" applyBorder="1"/>
    <xf numFmtId="0" fontId="0" fillId="42" borderId="20" xfId="0" applyFont="1" applyFill="1" applyBorder="1"/>
    <xf numFmtId="0" fontId="0" fillId="42" borderId="21" xfId="0" applyFont="1" applyFill="1" applyBorder="1"/>
    <xf numFmtId="0" fontId="0" fillId="42" borderId="0" xfId="0" applyFont="1" applyFill="1" applyBorder="1"/>
    <xf numFmtId="0" fontId="0" fillId="42" borderId="14" xfId="0" applyFont="1" applyFill="1" applyBorder="1"/>
    <xf numFmtId="0" fontId="0" fillId="42" borderId="19" xfId="0" applyFont="1" applyFill="1" applyBorder="1"/>
    <xf numFmtId="0" fontId="0" fillId="42" borderId="0" xfId="0" applyFill="1" applyBorder="1"/>
    <xf numFmtId="0" fontId="16" fillId="43" borderId="0" xfId="0" applyFont="1" applyFill="1" applyAlignment="1">
      <alignment horizontal="right" wrapText="1"/>
    </xf>
    <xf numFmtId="166" fontId="0" fillId="37" borderId="10" xfId="43" applyNumberFormat="1" applyFont="1" applyFill="1" applyBorder="1" applyAlignment="1">
      <alignment horizontal="right"/>
    </xf>
    <xf numFmtId="166" fontId="0" fillId="37" borderId="10" xfId="43" applyNumberFormat="1" applyFont="1" applyFill="1" applyBorder="1"/>
    <xf numFmtId="165" fontId="0" fillId="0" borderId="10" xfId="0" applyNumberFormat="1" applyBorder="1" applyAlignment="1">
      <alignment wrapText="1"/>
    </xf>
    <xf numFmtId="165" fontId="0" fillId="0" borderId="10" xfId="0" applyNumberFormat="1" applyBorder="1"/>
    <xf numFmtId="0" fontId="0" fillId="0" borderId="0" xfId="0" applyFill="1" applyAlignment="1">
      <alignment wrapText="1"/>
    </xf>
    <xf numFmtId="0" fontId="16" fillId="43" borderId="17" xfId="0" applyFont="1" applyFill="1" applyBorder="1" applyAlignment="1">
      <alignment horizontal="center" wrapText="1"/>
    </xf>
    <xf numFmtId="0" fontId="0" fillId="39" borderId="0" xfId="0" applyFill="1" applyAlignment="1">
      <alignment wrapText="1"/>
    </xf>
    <xf numFmtId="164" fontId="0" fillId="0" borderId="10" xfId="0" applyNumberFormat="1" applyFill="1" applyBorder="1"/>
    <xf numFmtId="10" fontId="0" fillId="0" borderId="10" xfId="1" applyNumberFormat="1" applyFont="1" applyFill="1" applyBorder="1"/>
    <xf numFmtId="0" fontId="0" fillId="0" borderId="10" xfId="0" applyFill="1" applyBorder="1"/>
    <xf numFmtId="0" fontId="0" fillId="0" borderId="10" xfId="0" applyFill="1" applyBorder="1" applyAlignment="1">
      <alignment wrapText="1"/>
    </xf>
    <xf numFmtId="0" fontId="16" fillId="0" borderId="10" xfId="0" applyFont="1" applyFill="1" applyBorder="1" applyAlignment="1">
      <alignment wrapText="1"/>
    </xf>
    <xf numFmtId="0" fontId="0" fillId="0" borderId="10" xfId="0" applyFont="1" applyFill="1" applyBorder="1"/>
    <xf numFmtId="9" fontId="0" fillId="0" borderId="10" xfId="1" applyNumberFormat="1" applyFont="1" applyFill="1" applyBorder="1"/>
    <xf numFmtId="0" fontId="16" fillId="43" borderId="0" xfId="0" applyFont="1" applyFill="1" applyAlignment="1">
      <alignment horizontal="center" wrapText="1" readingOrder="1"/>
    </xf>
    <xf numFmtId="0" fontId="16" fillId="0" borderId="0" xfId="0" applyFont="1" applyAlignment="1"/>
    <xf numFmtId="0" fontId="0" fillId="0" borderId="0" xfId="0" applyAlignment="1">
      <alignment horizontal="left"/>
    </xf>
    <xf numFmtId="164" fontId="0" fillId="39" borderId="0" xfId="0" applyNumberFormat="1" applyFill="1"/>
    <xf numFmtId="9" fontId="0" fillId="39" borderId="0" xfId="1" applyNumberFormat="1" applyFont="1" applyFill="1"/>
    <xf numFmtId="8" fontId="0" fillId="44" borderId="0" xfId="0" applyNumberFormat="1" applyFill="1"/>
    <xf numFmtId="10" fontId="0" fillId="44" borderId="0" xfId="0" applyNumberFormat="1" applyFill="1"/>
    <xf numFmtId="9" fontId="0" fillId="38" borderId="12" xfId="1" applyFont="1" applyFill="1" applyBorder="1"/>
    <xf numFmtId="9" fontId="0" fillId="38" borderId="13" xfId="1" applyFont="1" applyFill="1" applyBorder="1"/>
    <xf numFmtId="164" fontId="0" fillId="38" borderId="11" xfId="0" applyNumberFormat="1" applyFill="1" applyBorder="1"/>
    <xf numFmtId="164" fontId="0" fillId="38" borderId="13" xfId="0" applyNumberFormat="1" applyFill="1" applyBorder="1"/>
    <xf numFmtId="9" fontId="0" fillId="41" borderId="11" xfId="1" applyFont="1" applyFill="1" applyBorder="1"/>
    <xf numFmtId="9" fontId="0" fillId="41" borderId="12" xfId="1" applyFont="1" applyFill="1" applyBorder="1"/>
    <xf numFmtId="6" fontId="0" fillId="37" borderId="10" xfId="0" applyNumberFormat="1" applyFill="1" applyBorder="1"/>
    <xf numFmtId="0" fontId="0" fillId="38" borderId="11" xfId="0" applyNumberFormat="1" applyFill="1" applyBorder="1"/>
    <xf numFmtId="0" fontId="0" fillId="38" borderId="12" xfId="0" applyNumberFormat="1" applyFill="1" applyBorder="1"/>
    <xf numFmtId="0" fontId="0" fillId="38" borderId="13" xfId="0" applyNumberFormat="1" applyFill="1" applyBorder="1"/>
    <xf numFmtId="2" fontId="0" fillId="41" borderId="11" xfId="0" applyNumberFormat="1" applyFill="1" applyBorder="1"/>
    <xf numFmtId="2" fontId="0" fillId="41" borderId="12" xfId="0" applyNumberFormat="1" applyFill="1" applyBorder="1"/>
    <xf numFmtId="2" fontId="0" fillId="41" borderId="13" xfId="0" applyNumberFormat="1" applyFill="1" applyBorder="1"/>
    <xf numFmtId="0" fontId="0" fillId="37" borderId="10" xfId="0" applyFill="1" applyBorder="1" applyAlignment="1">
      <alignment horizontal="left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6" fillId="37" borderId="0" xfId="0" applyFont="1" applyFill="1" applyAlignment="1">
      <alignment horizontal="left"/>
    </xf>
    <xf numFmtId="0" fontId="0" fillId="37" borderId="15" xfId="0" applyFill="1" applyBorder="1" applyAlignment="1">
      <alignment horizontal="left"/>
    </xf>
    <xf numFmtId="0" fontId="0" fillId="37" borderId="16" xfId="0" applyFill="1" applyBorder="1" applyAlignment="1">
      <alignment horizontal="left"/>
    </xf>
    <xf numFmtId="0" fontId="0" fillId="37" borderId="17" xfId="0" applyFill="1" applyBorder="1" applyAlignment="1">
      <alignment horizontal="left"/>
    </xf>
    <xf numFmtId="0" fontId="16" fillId="37" borderId="15" xfId="0" applyFont="1" applyFill="1" applyBorder="1" applyAlignment="1">
      <alignment horizontal="center"/>
    </xf>
    <xf numFmtId="0" fontId="16" fillId="37" borderId="16" xfId="0" applyFont="1" applyFill="1" applyBorder="1" applyAlignment="1">
      <alignment horizontal="center"/>
    </xf>
    <xf numFmtId="0" fontId="16" fillId="37" borderId="17" xfId="0" applyFont="1" applyFill="1" applyBorder="1" applyAlignment="1">
      <alignment horizontal="center"/>
    </xf>
    <xf numFmtId="0" fontId="0" fillId="37" borderId="0" xfId="0" applyFill="1" applyBorder="1" applyAlignment="1">
      <alignment wrapText="1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strRef>
          <c:f>'Client Data - Event Level'!$A$6:$D$6</c:f>
          <c:strCache>
            <c:ptCount val="1"/>
            <c:pt idx="0">
              <c:v> - Revenue Distribution</c:v>
            </c:pt>
          </c:strCache>
        </c:strRef>
      </c:tx>
      <c:layout/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182852143482055E-2"/>
          <c:y val="0.1469112715077282"/>
          <c:w val="0.489581583552056"/>
          <c:h val="0.81596930592009331"/>
        </c:manualLayout>
      </c:layout>
      <c:doughnutChart>
        <c:varyColors val="1"/>
        <c:ser>
          <c:idx val="0"/>
          <c:order val="0"/>
          <c:tx>
            <c:strRef>
              <c:f>'Client Data - Event Level'!$A$8</c:f>
              <c:strCache>
                <c:ptCount val="1"/>
                <c:pt idx="0">
                  <c:v>2012</c:v>
                </c:pt>
              </c:strCache>
            </c:strRef>
          </c:tx>
          <c:dLbls>
            <c:dLbl>
              <c:idx val="1"/>
              <c:delete val="1"/>
            </c:dLbl>
            <c:dLbl>
              <c:idx val="2"/>
              <c:delete val="1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1"/>
          </c:dLbls>
          <c:cat>
            <c:strRef>
              <c:f>'Client Data - Event Level'!$F$7:$H$7</c:f>
              <c:strCache>
                <c:ptCount val="3"/>
                <c:pt idx="0">
                  <c:v>Total not from participant (Fundraising)</c:v>
                </c:pt>
                <c:pt idx="1">
                  <c:v>Total from Participant (self -donor)</c:v>
                </c:pt>
                <c:pt idx="2">
                  <c:v>Total Fees Paid (Registration Fees)</c:v>
                </c:pt>
              </c:strCache>
            </c:strRef>
          </c:cat>
          <c:val>
            <c:numRef>
              <c:f>'Client Data - Event Level'!$F$8:$H$8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'Client Data - Event Level'!$A$9</c:f>
              <c:strCache>
                <c:ptCount val="1"/>
                <c:pt idx="0">
                  <c:v>2013</c:v>
                </c:pt>
              </c:strCache>
            </c:strRef>
          </c:tx>
          <c:dLbls>
            <c:dLbl>
              <c:idx val="1"/>
              <c:delete val="1"/>
            </c:dLbl>
            <c:dLbl>
              <c:idx val="2"/>
              <c:delete val="1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1"/>
          </c:dLbls>
          <c:cat>
            <c:strRef>
              <c:f>'Client Data - Event Level'!$F$7:$H$7</c:f>
              <c:strCache>
                <c:ptCount val="3"/>
                <c:pt idx="0">
                  <c:v>Total not from participant (Fundraising)</c:v>
                </c:pt>
                <c:pt idx="1">
                  <c:v>Total from Participant (self -donor)</c:v>
                </c:pt>
                <c:pt idx="2">
                  <c:v>Total Fees Paid (Registration Fees)</c:v>
                </c:pt>
              </c:strCache>
            </c:strRef>
          </c:cat>
          <c:val>
            <c:numRef>
              <c:f>'Client Data - Event Level'!$F$9:$H$9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'Client Data - Event Level'!$A$10</c:f>
              <c:strCache>
                <c:ptCount val="1"/>
                <c:pt idx="0">
                  <c:v>2014</c:v>
                </c:pt>
              </c:strCache>
            </c:strRef>
          </c:tx>
          <c:dLbls>
            <c:dLbl>
              <c:idx val="1"/>
              <c:delete val="1"/>
            </c:dLbl>
            <c:dLbl>
              <c:idx val="2"/>
              <c:delete val="1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1"/>
          </c:dLbls>
          <c:cat>
            <c:strRef>
              <c:f>'Client Data - Event Level'!$F$7:$H$7</c:f>
              <c:strCache>
                <c:ptCount val="3"/>
                <c:pt idx="0">
                  <c:v>Total not from participant (Fundraising)</c:v>
                </c:pt>
                <c:pt idx="1">
                  <c:v>Total from Participant (self -donor)</c:v>
                </c:pt>
                <c:pt idx="2">
                  <c:v>Total Fees Paid (Registration Fees)</c:v>
                </c:pt>
              </c:strCache>
            </c:strRef>
          </c:cat>
          <c:val>
            <c:numRef>
              <c:f>'Client Data - Event Level'!$F$10:$H$10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/>
              <a:t>% of Participants Sending Emails 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'Event Benchmark Comparison '!$A$27</c:f>
              <c:strCache>
                <c:ptCount val="1"/>
                <c:pt idx="0">
                  <c:v>% of Participants Sending Emails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'Event Benchmark Comparison '!$B$26:$E$26</c:f>
              <c:strCach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Cycle
 Benchmark</c:v>
                </c:pt>
              </c:strCache>
            </c:strRef>
          </c:cat>
          <c:val>
            <c:numRef>
              <c:f>'Event Benchmark Comparison '!$B$27:$E$27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%">
                  <c:v>0.32790000000000002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767744"/>
        <c:axId val="92769280"/>
      </c:barChart>
      <c:catAx>
        <c:axId val="927677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2769280"/>
        <c:crosses val="autoZero"/>
        <c:auto val="1"/>
        <c:lblAlgn val="ctr"/>
        <c:lblOffset val="100"/>
        <c:noMultiLvlLbl val="0"/>
      </c:catAx>
      <c:valAx>
        <c:axId val="92769280"/>
        <c:scaling>
          <c:orientation val="minMax"/>
        </c:scaling>
        <c:delete val="1"/>
        <c:axPos val="t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0%" sourceLinked="1"/>
        <c:majorTickMark val="out"/>
        <c:minorTickMark val="none"/>
        <c:tickLblPos val="nextTo"/>
        <c:crossAx val="92767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/>
              <a:t>% of Participants Fundraising Online 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'Participant Benchmark Compariso'!$C$11</c:f>
              <c:strCache>
                <c:ptCount val="1"/>
                <c:pt idx="0">
                  <c:v>$0.00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'Participant Benchmark Compariso'!$B$12:$B$16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Compariso'!$C$12:$C$16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'Participant Benchmark Compariso'!$D$11</c:f>
              <c:strCache>
                <c:ptCount val="1"/>
                <c:pt idx="0">
                  <c:v>Cycle Benchmark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'Participant Benchmark Compariso'!$B$12:$B$16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Compariso'!$D$12:$D$16</c:f>
              <c:numCache>
                <c:formatCode>0%</c:formatCode>
                <c:ptCount val="5"/>
                <c:pt idx="0">
                  <c:v>0.7772</c:v>
                </c:pt>
                <c:pt idx="1">
                  <c:v>0.77149999999999996</c:v>
                </c:pt>
                <c:pt idx="2">
                  <c:v>0.47349999999999998</c:v>
                </c:pt>
                <c:pt idx="3">
                  <c:v>0.6754</c:v>
                </c:pt>
                <c:pt idx="4">
                  <c:v>0.6754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861568"/>
        <c:axId val="92863104"/>
      </c:barChart>
      <c:catAx>
        <c:axId val="92861568"/>
        <c:scaling>
          <c:orientation val="maxMin"/>
        </c:scaling>
        <c:delete val="0"/>
        <c:axPos val="l"/>
        <c:majorTickMark val="out"/>
        <c:minorTickMark val="none"/>
        <c:tickLblPos val="nextTo"/>
        <c:crossAx val="92863104"/>
        <c:crosses val="autoZero"/>
        <c:auto val="1"/>
        <c:lblAlgn val="ctr"/>
        <c:lblOffset val="100"/>
        <c:noMultiLvlLbl val="0"/>
      </c:catAx>
      <c:valAx>
        <c:axId val="92863104"/>
        <c:scaling>
          <c:orientation val="minMax"/>
        </c:scaling>
        <c:delete val="1"/>
        <c:axPos val="t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%" sourceLinked="1"/>
        <c:majorTickMark val="out"/>
        <c:minorTickMark val="none"/>
        <c:tickLblPos val="nextTo"/>
        <c:crossAx val="928615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/>
              <a:t>Average Dollars Raised Per Participant 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'Participant Benchmark Compariso'!$C$11</c:f>
              <c:strCache>
                <c:ptCount val="1"/>
                <c:pt idx="0">
                  <c:v>$0.00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'Participant Benchmark Compariso'!$B$17:$B$21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Compariso'!$C$17:$C$21</c:f>
              <c:numCache>
                <c:formatCode>"$"#,##0.00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'Participant Benchmark Compariso'!$D$11</c:f>
              <c:strCache>
                <c:ptCount val="1"/>
                <c:pt idx="0">
                  <c:v>Cycle Benchmark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'Participant Benchmark Compariso'!$B$17:$B$21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Compariso'!$D$17:$D$21</c:f>
              <c:numCache>
                <c:formatCode>"$"#,##0.00</c:formatCode>
                <c:ptCount val="5"/>
                <c:pt idx="0">
                  <c:v>691.61</c:v>
                </c:pt>
                <c:pt idx="1">
                  <c:v>410.08</c:v>
                </c:pt>
                <c:pt idx="2">
                  <c:v>199.79</c:v>
                </c:pt>
                <c:pt idx="3">
                  <c:v>669.29</c:v>
                </c:pt>
                <c:pt idx="4">
                  <c:v>378.66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916672"/>
        <c:axId val="81918208"/>
      </c:barChart>
      <c:catAx>
        <c:axId val="81916672"/>
        <c:scaling>
          <c:orientation val="maxMin"/>
        </c:scaling>
        <c:delete val="0"/>
        <c:axPos val="l"/>
        <c:majorTickMark val="out"/>
        <c:minorTickMark val="none"/>
        <c:tickLblPos val="nextTo"/>
        <c:crossAx val="81918208"/>
        <c:crosses val="autoZero"/>
        <c:auto val="1"/>
        <c:lblAlgn val="ctr"/>
        <c:lblOffset val="100"/>
        <c:noMultiLvlLbl val="0"/>
      </c:catAx>
      <c:valAx>
        <c:axId val="81918208"/>
        <c:scaling>
          <c:orientation val="minMax"/>
        </c:scaling>
        <c:delete val="1"/>
        <c:axPos val="t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&quot;$&quot;#,##0.00" sourceLinked="1"/>
        <c:majorTickMark val="out"/>
        <c:minorTickMark val="none"/>
        <c:tickLblPos val="nextTo"/>
        <c:crossAx val="819166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/>
              <a:t>Average Online Gift (Donation Amount)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'Participant Benchmark Compariso'!$C$11</c:f>
              <c:strCache>
                <c:ptCount val="1"/>
                <c:pt idx="0">
                  <c:v>$0.00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'Participant Benchmark Compariso'!$B$22:$B$26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Compariso'!$C$22:$C$26</c:f>
              <c:numCache>
                <c:formatCode>"$"#,##0.00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'Participant Benchmark Compariso'!$D$11</c:f>
              <c:strCache>
                <c:ptCount val="1"/>
                <c:pt idx="0">
                  <c:v>Cycle Benchmark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'Participant Benchmark Compariso'!$B$22:$B$26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Compariso'!$D$22:$D$26</c:f>
              <c:numCache>
                <c:formatCode>"$"#,##0.00</c:formatCode>
                <c:ptCount val="5"/>
                <c:pt idx="0">
                  <c:v>85.23</c:v>
                </c:pt>
                <c:pt idx="1">
                  <c:v>72.56</c:v>
                </c:pt>
                <c:pt idx="2">
                  <c:v>65.77</c:v>
                </c:pt>
                <c:pt idx="3">
                  <c:v>79</c:v>
                </c:pt>
                <c:pt idx="4">
                  <c:v>65.260000000000005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795264"/>
        <c:axId val="92796800"/>
      </c:barChart>
      <c:catAx>
        <c:axId val="92795264"/>
        <c:scaling>
          <c:orientation val="maxMin"/>
        </c:scaling>
        <c:delete val="0"/>
        <c:axPos val="l"/>
        <c:majorTickMark val="out"/>
        <c:minorTickMark val="none"/>
        <c:tickLblPos val="nextTo"/>
        <c:crossAx val="92796800"/>
        <c:crosses val="autoZero"/>
        <c:auto val="1"/>
        <c:lblAlgn val="ctr"/>
        <c:lblOffset val="100"/>
        <c:noMultiLvlLbl val="0"/>
      </c:catAx>
      <c:valAx>
        <c:axId val="92796800"/>
        <c:scaling>
          <c:orientation val="minMax"/>
        </c:scaling>
        <c:delete val="1"/>
        <c:axPos val="t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&quot;$&quot;#,##0.00" sourceLinked="1"/>
        <c:majorTickMark val="out"/>
        <c:minorTickMark val="none"/>
        <c:tickLblPos val="nextTo"/>
        <c:crossAx val="927952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/>
              <a:t>Average Number of Gifts Per Participant 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'Participant Benchmark Compariso'!$C$11</c:f>
              <c:strCache>
                <c:ptCount val="1"/>
                <c:pt idx="0">
                  <c:v>$0.00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'Participant Benchmark Compariso'!$B$27:$B$31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Compariso'!$C$27:$C$31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'Participant Benchmark Compariso'!$D$11</c:f>
              <c:strCache>
                <c:ptCount val="1"/>
                <c:pt idx="0">
                  <c:v>Cycle Benchmark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'Participant Benchmark Compariso'!$B$27:$B$31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Compariso'!$D$27:$D$31</c:f>
              <c:numCache>
                <c:formatCode>General</c:formatCode>
                <c:ptCount val="5"/>
                <c:pt idx="0">
                  <c:v>8.11</c:v>
                </c:pt>
                <c:pt idx="1">
                  <c:v>5.65</c:v>
                </c:pt>
                <c:pt idx="2">
                  <c:v>3.04</c:v>
                </c:pt>
                <c:pt idx="3">
                  <c:v>5.98</c:v>
                </c:pt>
                <c:pt idx="4">
                  <c:v>4.51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319744"/>
        <c:axId val="92321280"/>
      </c:barChart>
      <c:catAx>
        <c:axId val="92319744"/>
        <c:scaling>
          <c:orientation val="maxMin"/>
        </c:scaling>
        <c:delete val="0"/>
        <c:axPos val="l"/>
        <c:majorTickMark val="out"/>
        <c:minorTickMark val="none"/>
        <c:tickLblPos val="nextTo"/>
        <c:crossAx val="92321280"/>
        <c:crosses val="autoZero"/>
        <c:auto val="1"/>
        <c:lblAlgn val="ctr"/>
        <c:lblOffset val="100"/>
        <c:noMultiLvlLbl val="0"/>
      </c:catAx>
      <c:valAx>
        <c:axId val="92321280"/>
        <c:scaling>
          <c:orientation val="minMax"/>
        </c:scaling>
        <c:delete val="1"/>
        <c:axPos val="t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.00" sourceLinked="1"/>
        <c:majorTickMark val="out"/>
        <c:minorTickMark val="none"/>
        <c:tickLblPos val="nextTo"/>
        <c:crossAx val="923197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/>
              <a:t>% of Participants Sending Email 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'Participant Benchmark Compariso'!$D$11</c:f>
              <c:strCache>
                <c:ptCount val="1"/>
                <c:pt idx="0">
                  <c:v>Cycle Benchmark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'Participant Benchmark Compariso'!$B$32:$B$36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Compariso'!$D$32:$D$36</c:f>
              <c:numCache>
                <c:formatCode>0%</c:formatCode>
                <c:ptCount val="5"/>
                <c:pt idx="0">
                  <c:v>0.50470000000000004</c:v>
                </c:pt>
                <c:pt idx="1">
                  <c:v>0.34110000000000001</c:v>
                </c:pt>
                <c:pt idx="2">
                  <c:v>0.21640000000000001</c:v>
                </c:pt>
                <c:pt idx="3">
                  <c:v>0.36620000000000003</c:v>
                </c:pt>
                <c:pt idx="4">
                  <c:v>0.28160000000000002</c:v>
                </c:pt>
              </c:numCache>
            </c:numRef>
          </c:val>
        </c:ser>
        <c:ser>
          <c:idx val="1"/>
          <c:order val="1"/>
          <c:tx>
            <c:strRef>
              <c:f>'Participant Benchmark Compariso'!$C$11</c:f>
              <c:strCache>
                <c:ptCount val="1"/>
                <c:pt idx="0">
                  <c:v>$0.00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'Participant Benchmark Compariso'!$B$32:$B$36</c:f>
              <c:strCache>
                <c:ptCount val="5"/>
                <c:pt idx="0">
                  <c:v>Team Captain </c:v>
                </c:pt>
                <c:pt idx="1">
                  <c:v>Team Member </c:v>
                </c:pt>
                <c:pt idx="2">
                  <c:v>Individual </c:v>
                </c:pt>
                <c:pt idx="3">
                  <c:v>Returning Individual </c:v>
                </c:pt>
                <c:pt idx="4">
                  <c:v>New Participant </c:v>
                </c:pt>
              </c:strCache>
            </c:strRef>
          </c:cat>
          <c:val>
            <c:numRef>
              <c:f>'Participant Benchmark Compariso'!$C$32:$C$36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339584"/>
        <c:axId val="92341376"/>
      </c:barChart>
      <c:catAx>
        <c:axId val="92339584"/>
        <c:scaling>
          <c:orientation val="maxMin"/>
        </c:scaling>
        <c:delete val="0"/>
        <c:axPos val="l"/>
        <c:majorTickMark val="out"/>
        <c:minorTickMark val="none"/>
        <c:tickLblPos val="nextTo"/>
        <c:crossAx val="92341376"/>
        <c:crosses val="autoZero"/>
        <c:auto val="1"/>
        <c:lblAlgn val="ctr"/>
        <c:lblOffset val="100"/>
        <c:noMultiLvlLbl val="0"/>
      </c:catAx>
      <c:valAx>
        <c:axId val="92341376"/>
        <c:scaling>
          <c:orientation val="minMax"/>
        </c:scaling>
        <c:delete val="1"/>
        <c:axPos val="t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0%" sourceLinked="1"/>
        <c:majorTickMark val="out"/>
        <c:minorTickMark val="none"/>
        <c:tickLblPos val="nextTo"/>
        <c:crossAx val="923395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/>
              <a:t>Average Dollars Raised Per Participant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5355208328948231"/>
          <c:y val="0.16157810507630183"/>
          <c:w val="0.72926332685240258"/>
          <c:h val="0.670542676893943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'Participant Benchmark Compariso'!$C$7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'Participant Benchmark Compariso'!$B$8:$B$10</c:f>
              <c:strCache>
                <c:ptCount val="3"/>
                <c:pt idx="0">
                  <c:v>Fundraising Self - Donor </c:v>
                </c:pt>
                <c:pt idx="1">
                  <c:v>Participating Donor </c:v>
                </c:pt>
                <c:pt idx="2">
                  <c:v>Non Self-Donors</c:v>
                </c:pt>
              </c:strCache>
            </c:strRef>
          </c:cat>
          <c:val>
            <c:numRef>
              <c:f>'Participant Benchmark Compariso'!$C$8:$C$10</c:f>
              <c:numCache>
                <c:formatCode>"$"#,##0.00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'Participant Benchmark Compariso'!$D$7</c:f>
              <c:strCache>
                <c:ptCount val="1"/>
                <c:pt idx="0">
                  <c:v>Cycle Benchmark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'Participant Benchmark Compariso'!$B$8:$B$10</c:f>
              <c:strCache>
                <c:ptCount val="3"/>
                <c:pt idx="0">
                  <c:v>Fundraising Self - Donor </c:v>
                </c:pt>
                <c:pt idx="1">
                  <c:v>Participating Donor </c:v>
                </c:pt>
                <c:pt idx="2">
                  <c:v>Non Self-Donors</c:v>
                </c:pt>
              </c:strCache>
            </c:strRef>
          </c:cat>
          <c:val>
            <c:numRef>
              <c:f>'Participant Benchmark Compariso'!$D$8:$D$10</c:f>
              <c:numCache>
                <c:formatCode>"$"#,##0.00</c:formatCode>
                <c:ptCount val="3"/>
                <c:pt idx="0">
                  <c:v>629.62</c:v>
                </c:pt>
                <c:pt idx="1">
                  <c:v>157.24</c:v>
                </c:pt>
                <c:pt idx="2">
                  <c:v>249.14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396544"/>
        <c:axId val="92402432"/>
      </c:barChart>
      <c:catAx>
        <c:axId val="92396544"/>
        <c:scaling>
          <c:orientation val="maxMin"/>
        </c:scaling>
        <c:delete val="0"/>
        <c:axPos val="l"/>
        <c:majorTickMark val="out"/>
        <c:minorTickMark val="none"/>
        <c:tickLblPos val="nextTo"/>
        <c:crossAx val="92402432"/>
        <c:crosses val="autoZero"/>
        <c:auto val="1"/>
        <c:lblAlgn val="ctr"/>
        <c:lblOffset val="100"/>
        <c:noMultiLvlLbl val="0"/>
      </c:catAx>
      <c:valAx>
        <c:axId val="92402432"/>
        <c:scaling>
          <c:orientation val="minMax"/>
        </c:scaling>
        <c:delete val="1"/>
        <c:axPos val="t"/>
        <c:majorGridlines>
          <c:spPr>
            <a:ln>
              <a:solidFill>
                <a:schemeClr val="bg1">
                  <a:lumMod val="95000"/>
                </a:schemeClr>
              </a:solidFill>
            </a:ln>
          </c:spPr>
        </c:majorGridlines>
        <c:numFmt formatCode="&quot;$&quot;#,##0.00" sourceLinked="1"/>
        <c:majorTickMark val="out"/>
        <c:minorTickMark val="none"/>
        <c:tickLblPos val="nextTo"/>
        <c:crossAx val="923965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'Client Data - Event Level'!$A$13:$D$13</c:f>
          <c:strCache>
            <c:ptCount val="1"/>
            <c:pt idx="0">
              <c:v> - % of Population Fundraising</c:v>
            </c:pt>
          </c:strCache>
        </c:strRef>
      </c:tx>
      <c:layout/>
      <c:overlay val="0"/>
      <c:txPr>
        <a:bodyPr/>
        <a:lstStyle/>
        <a:p>
          <a:pPr>
            <a:defRPr sz="1100"/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'Client Data - Event Level'!$D$14</c:f>
              <c:strCache>
                <c:ptCount val="1"/>
                <c:pt idx="0">
                  <c:v>%of Population Fundraising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'Client Data - Event Level'!$A$15:$A$17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'Client Data - Event Level'!$D$15:$D$17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940480"/>
        <c:axId val="88228992"/>
      </c:barChart>
      <c:catAx>
        <c:axId val="87940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8228992"/>
        <c:crosses val="autoZero"/>
        <c:auto val="1"/>
        <c:lblAlgn val="ctr"/>
        <c:lblOffset val="100"/>
        <c:noMultiLvlLbl val="0"/>
      </c:catAx>
      <c:valAx>
        <c:axId val="88228992"/>
        <c:scaling>
          <c:orientation val="minMax"/>
        </c:scaling>
        <c:delete val="1"/>
        <c:axPos val="t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0%" sourceLinked="1"/>
        <c:majorTickMark val="out"/>
        <c:minorTickMark val="none"/>
        <c:tickLblPos val="nextTo"/>
        <c:crossAx val="87940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'Client Data - Event Level'!$A$19:$D$19</c:f>
          <c:strCache>
            <c:ptCount val="1"/>
            <c:pt idx="0">
              <c:v> - Average Online Donation Amount</c:v>
            </c:pt>
          </c:strCache>
        </c:strRef>
      </c:tx>
      <c:layout/>
      <c:overlay val="0"/>
      <c:txPr>
        <a:bodyPr/>
        <a:lstStyle/>
        <a:p>
          <a:pPr>
            <a:defRPr sz="1100"/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'Client Data - Event Level'!$D$20</c:f>
              <c:strCache>
                <c:ptCount val="1"/>
                <c:pt idx="0">
                  <c:v>Avg. Online Donation Amount 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'Client Data - Event Level'!$A$21:$A$23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'Client Data - Event Level'!$D$21:$D$23</c:f>
              <c:numCache>
                <c:formatCode>"$"#,##0.00_);[Red]\("$"#,##0.00\)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253568"/>
        <c:axId val="88255104"/>
      </c:barChart>
      <c:catAx>
        <c:axId val="88253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8255104"/>
        <c:crosses val="autoZero"/>
        <c:auto val="1"/>
        <c:lblAlgn val="ctr"/>
        <c:lblOffset val="100"/>
        <c:noMultiLvlLbl val="0"/>
      </c:catAx>
      <c:valAx>
        <c:axId val="88255104"/>
        <c:scaling>
          <c:orientation val="minMax"/>
        </c:scaling>
        <c:delete val="1"/>
        <c:axPos val="t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&quot;$&quot;#,##0.00_);[Red]\(&quot;$&quot;#,##0.00\)" sourceLinked="1"/>
        <c:majorTickMark val="out"/>
        <c:minorTickMark val="none"/>
        <c:tickLblPos val="nextTo"/>
        <c:crossAx val="88253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'Client Data - Event Level'!$A$33:$D$33</c:f>
          <c:strCache>
            <c:ptCount val="1"/>
            <c:pt idx="0">
              <c:v> -% of Participants Sending Emails</c:v>
            </c:pt>
          </c:strCache>
        </c:strRef>
      </c:tx>
      <c:layout/>
      <c:overlay val="0"/>
      <c:txPr>
        <a:bodyPr/>
        <a:lstStyle/>
        <a:p>
          <a:pPr>
            <a:defRPr sz="1100"/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'Client Data - Event Level'!$D$34</c:f>
              <c:strCache>
                <c:ptCount val="1"/>
                <c:pt idx="0">
                  <c:v>% of Participants Sending Email 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'Client Data - Event Level'!$A$35:$A$37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'Client Data - Event Level'!$D$35:$D$37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712704"/>
        <c:axId val="90722688"/>
      </c:barChart>
      <c:catAx>
        <c:axId val="907127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0722688"/>
        <c:crosses val="autoZero"/>
        <c:auto val="1"/>
        <c:lblAlgn val="ctr"/>
        <c:lblOffset val="100"/>
        <c:noMultiLvlLbl val="0"/>
      </c:catAx>
      <c:valAx>
        <c:axId val="90722688"/>
        <c:scaling>
          <c:orientation val="minMax"/>
        </c:scaling>
        <c:delete val="1"/>
        <c:axPos val="t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0.00%" sourceLinked="1"/>
        <c:majorTickMark val="out"/>
        <c:minorTickMark val="none"/>
        <c:tickLblPos val="nextTo"/>
        <c:crossAx val="90712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'Client Data - Event Level'!$A$26:$D$26</c:f>
          <c:strCache>
            <c:ptCount val="1"/>
            <c:pt idx="0">
              <c:v> -% of Participants Returning</c:v>
            </c:pt>
          </c:strCache>
        </c:strRef>
      </c:tx>
      <c:layout/>
      <c:overlay val="0"/>
      <c:txPr>
        <a:bodyPr/>
        <a:lstStyle/>
        <a:p>
          <a:pPr>
            <a:defRPr sz="1100"/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'Client Data - Event Level'!$D$27</c:f>
              <c:strCache>
                <c:ptCount val="1"/>
                <c:pt idx="0">
                  <c:v>Retention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'Client Data - Event Level'!$A$28:$A$30</c:f>
              <c:numCache>
                <c:formatCode>General</c:formatCode>
                <c:ptCount val="3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</c:numCache>
            </c:numRef>
          </c:cat>
          <c:val>
            <c:numRef>
              <c:f>'Client Data - Event Level'!$D$28:$D$30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744704"/>
        <c:axId val="90746240"/>
      </c:barChart>
      <c:catAx>
        <c:axId val="907447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0746240"/>
        <c:crosses val="autoZero"/>
        <c:auto val="1"/>
        <c:lblAlgn val="ctr"/>
        <c:lblOffset val="100"/>
        <c:noMultiLvlLbl val="0"/>
      </c:catAx>
      <c:valAx>
        <c:axId val="90746240"/>
        <c:scaling>
          <c:orientation val="minMax"/>
        </c:scaling>
        <c:delete val="1"/>
        <c:axPos val="t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0.00%" sourceLinked="1"/>
        <c:majorTickMark val="out"/>
        <c:minorTickMark val="none"/>
        <c:tickLblPos val="nextTo"/>
        <c:crossAx val="90744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strRef>
          <c:f>'Event Benchmark Comparison '!$A$13</c:f>
          <c:strCache>
            <c:ptCount val="1"/>
            <c:pt idx="0">
              <c:v>% of Population Fundraising </c:v>
            </c:pt>
          </c:strCache>
        </c:strRef>
      </c:tx>
      <c:layout/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'Event Benchmark Comparison '!$B$14:$E$14</c:f>
              <c:strCach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Cycle
 Benchmark</c:v>
                </c:pt>
              </c:strCache>
            </c:strRef>
          </c:cat>
          <c:val>
            <c:numRef>
              <c:f>'Event Benchmark Comparison '!$B$15:$E$15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0.70569999999999999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834816"/>
        <c:axId val="90836352"/>
      </c:barChart>
      <c:catAx>
        <c:axId val="90834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0836352"/>
        <c:crosses val="autoZero"/>
        <c:auto val="1"/>
        <c:lblAlgn val="ctr"/>
        <c:lblOffset val="100"/>
        <c:noMultiLvlLbl val="0"/>
      </c:catAx>
      <c:valAx>
        <c:axId val="90836352"/>
        <c:scaling>
          <c:orientation val="minMax"/>
        </c:scaling>
        <c:delete val="1"/>
        <c:axPos val="t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0.00%" sourceLinked="1"/>
        <c:majorTickMark val="out"/>
        <c:minorTickMark val="none"/>
        <c:tickLblPos val="nextTo"/>
        <c:crossAx val="90834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strRef>
          <c:f>'Event Benchmark Comparison '!$A$7</c:f>
          <c:strCache>
            <c:ptCount val="1"/>
            <c:pt idx="0">
              <c:v>0 - Revenue Distribution</c:v>
            </c:pt>
          </c:strCache>
        </c:strRef>
      </c:tx>
      <c:layout/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828018372703412"/>
          <c:y val="0.17005941965587634"/>
          <c:w val="0.43402602799650042"/>
          <c:h val="0.72337671332750075"/>
        </c:manualLayout>
      </c:layout>
      <c:doughnutChart>
        <c:varyColors val="1"/>
        <c:ser>
          <c:idx val="0"/>
          <c:order val="0"/>
          <c:tx>
            <c:strRef>
              <c:f>'Event Benchmark Comparison '!$D$8</c:f>
              <c:strCache>
                <c:ptCount val="1"/>
                <c:pt idx="0">
                  <c:v>2014</c:v>
                </c:pt>
              </c:strCache>
            </c:strRef>
          </c:tx>
          <c:dLbls>
            <c:dLbl>
              <c:idx val="0"/>
              <c:layout>
                <c:manualLayout>
                  <c:x val="1.6887437186923215E-2"/>
                  <c:y val="-0.335967325356844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1"/>
          </c:dLbls>
          <c:cat>
            <c:strRef>
              <c:f>'Event Benchmark Comparison '!$A$9:$A$11</c:f>
              <c:strCache>
                <c:ptCount val="3"/>
                <c:pt idx="0">
                  <c:v>Fundraising </c:v>
                </c:pt>
                <c:pt idx="1">
                  <c:v>Registration Fee</c:v>
                </c:pt>
                <c:pt idx="2">
                  <c:v>Self Donations </c:v>
                </c:pt>
              </c:strCache>
            </c:strRef>
          </c:cat>
          <c:val>
            <c:numRef>
              <c:f>'Event Benchmark Comparison '!$D$9:$D$11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'Event Benchmark Comparison '!$E$8</c:f>
              <c:strCache>
                <c:ptCount val="1"/>
                <c:pt idx="0">
                  <c:v>Cycle
 Benchmark</c:v>
                </c:pt>
              </c:strCache>
            </c:strRef>
          </c:tx>
          <c:dPt>
            <c:idx val="0"/>
            <c:bubble3D val="0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Pt>
            <c:idx val="1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-0.45376377952755903"/>
                  <c:y val="0.56165718868474779"/>
                </c:manualLayout>
              </c:layout>
              <c:spPr>
                <a:solidFill>
                  <a:schemeClr val="bg2">
                    <a:lumMod val="40000"/>
                    <a:lumOff val="60000"/>
                  </a:schemeClr>
                </a:solidFill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showLegendKey val="0"/>
            <c:showVal val="0"/>
            <c:showCatName val="0"/>
            <c:showSerName val="1"/>
            <c:showPercent val="0"/>
            <c:showBubbleSize val="0"/>
            <c:showLeaderLines val="1"/>
          </c:dLbls>
          <c:cat>
            <c:strRef>
              <c:f>'Event Benchmark Comparison '!$A$9:$A$11</c:f>
              <c:strCache>
                <c:ptCount val="3"/>
                <c:pt idx="0">
                  <c:v>Fundraising </c:v>
                </c:pt>
                <c:pt idx="1">
                  <c:v>Registration Fee</c:v>
                </c:pt>
                <c:pt idx="2">
                  <c:v>Self Donations </c:v>
                </c:pt>
              </c:strCache>
            </c:strRef>
          </c:cat>
          <c:val>
            <c:numRef>
              <c:f>'Event Benchmark Comparison '!$E$9:$E$11</c:f>
              <c:numCache>
                <c:formatCode>0.00%</c:formatCode>
                <c:ptCount val="3"/>
                <c:pt idx="0">
                  <c:v>0.89</c:v>
                </c:pt>
                <c:pt idx="1">
                  <c:v>0.06</c:v>
                </c:pt>
                <c:pt idx="2">
                  <c:v>0.05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strRef>
          <c:f>'Event Benchmark Comparison '!$A$21</c:f>
          <c:strCache>
            <c:ptCount val="1"/>
            <c:pt idx="0">
              <c:v>% of Participants Returning from last year </c:v>
            </c:pt>
          </c:strCache>
        </c:strRef>
      </c:tx>
      <c:layout/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'Event Benchmark Comparison '!$A$23</c:f>
              <c:strCache>
                <c:ptCount val="1"/>
                <c:pt idx="0">
                  <c:v>% of Participants Returning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3"/>
            <c:invertIfNegative val="0"/>
            <c:bubble3D val="0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'Event Benchmark Comparison '!$B$22:$E$22</c:f>
              <c:strCach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Cycle
 Benchmark</c:v>
                </c:pt>
              </c:strCache>
            </c:strRef>
          </c:cat>
          <c:val>
            <c:numRef>
              <c:f>'Event Benchmark Comparison '!$B$23:$E$23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360"/>
        <c:axId val="92701440"/>
      </c:barChart>
      <c:catAx>
        <c:axId val="926873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2701440"/>
        <c:crosses val="autoZero"/>
        <c:auto val="1"/>
        <c:lblAlgn val="ctr"/>
        <c:lblOffset val="100"/>
        <c:noMultiLvlLbl val="0"/>
      </c:catAx>
      <c:valAx>
        <c:axId val="92701440"/>
        <c:scaling>
          <c:orientation val="minMax"/>
        </c:scaling>
        <c:delete val="1"/>
        <c:axPos val="t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0.00%" sourceLinked="1"/>
        <c:majorTickMark val="out"/>
        <c:minorTickMark val="none"/>
        <c:tickLblPos val="nextTo"/>
        <c:crossAx val="92687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/>
              <a:t>Average Online Donation Amount 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'Event Benchmark Comparison '!$A$19</c:f>
              <c:strCache>
                <c:ptCount val="1"/>
                <c:pt idx="0">
                  <c:v>Avg. Online Donation Amount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1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2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chemeClr val="bg2">
                  <a:lumMod val="60000"/>
                  <a:lumOff val="40000"/>
                </a:schemeClr>
              </a:solidFill>
            </c:spPr>
          </c:dPt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'Event Benchmark Comparison '!$B$18:$E$18</c:f>
              <c:strCache>
                <c:ptCount val="4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Cycle
 Benchmark</c:v>
                </c:pt>
              </c:strCache>
            </c:strRef>
          </c:cat>
          <c:val>
            <c:numRef>
              <c:f>'Event Benchmark Comparison '!$B$19:$E$19</c:f>
              <c:numCache>
                <c:formatCode>"$"#,##0.00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&quot;$&quot;#,##0.00_);[Red]\(&quot;$&quot;#,##0.00\)">
                  <c:v>73.42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719360"/>
        <c:axId val="92725248"/>
      </c:barChart>
      <c:catAx>
        <c:axId val="927193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2725248"/>
        <c:crosses val="autoZero"/>
        <c:auto val="1"/>
        <c:lblAlgn val="ctr"/>
        <c:lblOffset val="100"/>
        <c:noMultiLvlLbl val="0"/>
      </c:catAx>
      <c:valAx>
        <c:axId val="92725248"/>
        <c:scaling>
          <c:orientation val="minMax"/>
        </c:scaling>
        <c:delete val="1"/>
        <c:axPos val="t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numFmt formatCode="&quot;$&quot;#,##0.00" sourceLinked="1"/>
        <c:majorTickMark val="out"/>
        <c:minorTickMark val="none"/>
        <c:tickLblPos val="nextTo"/>
        <c:crossAx val="92719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70945</xdr:colOff>
      <xdr:row>5</xdr:row>
      <xdr:rowOff>199969</xdr:rowOff>
    </xdr:from>
    <xdr:to>
      <xdr:col>14</xdr:col>
      <xdr:colOff>528146</xdr:colOff>
      <xdr:row>14</xdr:row>
      <xdr:rowOff>102602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116417</xdr:colOff>
      <xdr:row>12</xdr:row>
      <xdr:rowOff>47620</xdr:rowOff>
    </xdr:from>
    <xdr:to>
      <xdr:col>7</xdr:col>
      <xdr:colOff>1185333</xdr:colOff>
      <xdr:row>18</xdr:row>
      <xdr:rowOff>116412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116417</xdr:colOff>
      <xdr:row>18</xdr:row>
      <xdr:rowOff>164037</xdr:rowOff>
    </xdr:from>
    <xdr:to>
      <xdr:col>7</xdr:col>
      <xdr:colOff>1185333</xdr:colOff>
      <xdr:row>25</xdr:row>
      <xdr:rowOff>21163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</xdr:col>
      <xdr:colOff>116417</xdr:colOff>
      <xdr:row>31</xdr:row>
      <xdr:rowOff>204257</xdr:rowOff>
    </xdr:from>
    <xdr:to>
      <xdr:col>7</xdr:col>
      <xdr:colOff>1185333</xdr:colOff>
      <xdr:row>38</xdr:row>
      <xdr:rowOff>87841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4</xdr:col>
      <xdr:colOff>116417</xdr:colOff>
      <xdr:row>25</xdr:row>
      <xdr:rowOff>55030</xdr:rowOff>
    </xdr:from>
    <xdr:to>
      <xdr:col>7</xdr:col>
      <xdr:colOff>1185333</xdr:colOff>
      <xdr:row>31</xdr:row>
      <xdr:rowOff>169332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12</xdr:row>
      <xdr:rowOff>201083</xdr:rowOff>
    </xdr:from>
    <xdr:to>
      <xdr:col>12</xdr:col>
      <xdr:colOff>247650</xdr:colOff>
      <xdr:row>22</xdr:row>
      <xdr:rowOff>31327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552450</xdr:colOff>
      <xdr:row>0</xdr:row>
      <xdr:rowOff>52919</xdr:rowOff>
    </xdr:from>
    <xdr:to>
      <xdr:col>15</xdr:col>
      <xdr:colOff>628650</xdr:colOff>
      <xdr:row>12</xdr:row>
      <xdr:rowOff>157694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371475</xdr:colOff>
      <xdr:row>22</xdr:row>
      <xdr:rowOff>71966</xdr:rowOff>
    </xdr:from>
    <xdr:to>
      <xdr:col>12</xdr:col>
      <xdr:colOff>247650</xdr:colOff>
      <xdr:row>32</xdr:row>
      <xdr:rowOff>27092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12</xdr:col>
      <xdr:colOff>295275</xdr:colOff>
      <xdr:row>12</xdr:row>
      <xdr:rowOff>201083</xdr:rowOff>
    </xdr:from>
    <xdr:to>
      <xdr:col>18</xdr:col>
      <xdr:colOff>600075</xdr:colOff>
      <xdr:row>22</xdr:row>
      <xdr:rowOff>31327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12</xdr:col>
      <xdr:colOff>295275</xdr:colOff>
      <xdr:row>22</xdr:row>
      <xdr:rowOff>71966</xdr:rowOff>
    </xdr:from>
    <xdr:to>
      <xdr:col>18</xdr:col>
      <xdr:colOff>600075</xdr:colOff>
      <xdr:row>32</xdr:row>
      <xdr:rowOff>27092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127000</xdr:colOff>
      <xdr:row>11</xdr:row>
      <xdr:rowOff>17461</xdr:rowOff>
    </xdr:from>
    <xdr:to>
      <xdr:col>14</xdr:col>
      <xdr:colOff>129858</xdr:colOff>
      <xdr:row>25</xdr:row>
      <xdr:rowOff>171766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206375</xdr:colOff>
      <xdr:row>11</xdr:row>
      <xdr:rowOff>15875</xdr:rowOff>
    </xdr:from>
    <xdr:to>
      <xdr:col>23</xdr:col>
      <xdr:colOff>209232</xdr:colOff>
      <xdr:row>25</xdr:row>
      <xdr:rowOff>170180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127000</xdr:colOff>
      <xdr:row>26</xdr:row>
      <xdr:rowOff>0</xdr:rowOff>
    </xdr:from>
    <xdr:to>
      <xdr:col>14</xdr:col>
      <xdr:colOff>129858</xdr:colOff>
      <xdr:row>38</xdr:row>
      <xdr:rowOff>82867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14</xdr:col>
      <xdr:colOff>206375</xdr:colOff>
      <xdr:row>26</xdr:row>
      <xdr:rowOff>0</xdr:rowOff>
    </xdr:from>
    <xdr:to>
      <xdr:col>23</xdr:col>
      <xdr:colOff>209232</xdr:colOff>
      <xdr:row>38</xdr:row>
      <xdr:rowOff>82867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9</xdr:col>
      <xdr:colOff>35710</xdr:colOff>
      <xdr:row>38</xdr:row>
      <xdr:rowOff>103188</xdr:rowOff>
    </xdr:from>
    <xdr:to>
      <xdr:col>18</xdr:col>
      <xdr:colOff>38568</xdr:colOff>
      <xdr:row>47</xdr:row>
      <xdr:rowOff>78900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35710</xdr:colOff>
      <xdr:row>0</xdr:row>
      <xdr:rowOff>39290</xdr:rowOff>
    </xdr:from>
    <xdr:to>
      <xdr:col>18</xdr:col>
      <xdr:colOff>495768</xdr:colOff>
      <xdr:row>10</xdr:row>
      <xdr:rowOff>416956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ustin">
  <a:themeElements>
    <a:clrScheme name="Austin">
      <a:dk1>
        <a:sysClr val="windowText" lastClr="000000"/>
      </a:dk1>
      <a:lt1>
        <a:sysClr val="window" lastClr="FFFFFF"/>
      </a:lt1>
      <a:dk2>
        <a:srgbClr val="3E3D2D"/>
      </a:dk2>
      <a:lt2>
        <a:srgbClr val="CAF278"/>
      </a:lt2>
      <a:accent1>
        <a:srgbClr val="94C600"/>
      </a:accent1>
      <a:accent2>
        <a:srgbClr val="71685A"/>
      </a:accent2>
      <a:accent3>
        <a:srgbClr val="FF6700"/>
      </a:accent3>
      <a:accent4>
        <a:srgbClr val="909465"/>
      </a:accent4>
      <a:accent5>
        <a:srgbClr val="956B43"/>
      </a:accent5>
      <a:accent6>
        <a:srgbClr val="FEA022"/>
      </a:accent6>
      <a:hlink>
        <a:srgbClr val="E68200"/>
      </a:hlink>
      <a:folHlink>
        <a:srgbClr val="FFA94A"/>
      </a:folHlink>
    </a:clrScheme>
    <a:fontScheme name="Austin">
      <a:maj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ustin">
      <a:fillStyleLst>
        <a:solidFill>
          <a:schemeClr val="phClr"/>
        </a:solidFill>
        <a:gradFill rotWithShape="1">
          <a:gsLst>
            <a:gs pos="0">
              <a:schemeClr val="phClr">
                <a:tint val="20000"/>
                <a:satMod val="180000"/>
                <a:lumMod val="98000"/>
              </a:schemeClr>
            </a:gs>
            <a:gs pos="40000">
              <a:schemeClr val="phClr">
                <a:tint val="30000"/>
                <a:satMod val="260000"/>
                <a:lumMod val="84000"/>
              </a:schemeClr>
            </a:gs>
            <a:gs pos="100000">
              <a:schemeClr val="phClr">
                <a:tint val="100000"/>
                <a:satMod val="110000"/>
                <a:lumMod val="100000"/>
              </a:schemeClr>
            </a:gs>
          </a:gsLst>
          <a:lin ang="504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75000"/>
                <a:satMod val="120000"/>
                <a:lumMod val="9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>
            <a:bevelT w="50800" h="12700" prst="softRound"/>
          </a:sp3d>
        </a:effectStyle>
        <a:effectStyle>
          <a:effectLst>
            <a:outerShdw blurRad="44450" dist="50800" dir="5400000" sx="96000" rotWithShape="0">
              <a:srgbClr val="000000">
                <a:alpha val="3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 contourW="15875" prstMaterial="metal">
            <a:bevelT w="101600" h="25400" prst="softRound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94000"/>
                <a:satMod val="114000"/>
                <a:lumMod val="96000"/>
              </a:schemeClr>
            </a:gs>
            <a:gs pos="62000">
              <a:schemeClr val="phClr">
                <a:tint val="92000"/>
                <a:shade val="66000"/>
                <a:satMod val="110000"/>
                <a:lumMod val="80000"/>
              </a:schemeClr>
            </a:gs>
            <a:gs pos="100000">
              <a:schemeClr val="phClr">
                <a:tint val="89000"/>
                <a:shade val="62000"/>
                <a:satMod val="110000"/>
                <a:lumMod val="72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80000"/>
                <a:shade val="58000"/>
              </a:schemeClr>
              <a:schemeClr val="phClr">
                <a:tint val="73000"/>
                <a:shade val="68000"/>
                <a:satMod val="15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workbookViewId="0">
      <selection activeCell="D29" sqref="D29"/>
    </sheetView>
  </sheetViews>
  <sheetFormatPr defaultRowHeight="16.5" x14ac:dyDescent="0.3"/>
  <cols>
    <col min="1" max="1" width="61.625" customWidth="1"/>
    <col min="2" max="2" width="13.25" customWidth="1"/>
    <col min="3" max="3" width="13.75" customWidth="1"/>
    <col min="4" max="4" width="6.625" customWidth="1"/>
    <col min="5" max="5" width="11.75" customWidth="1"/>
    <col min="6" max="6" width="19" customWidth="1"/>
    <col min="7" max="7" width="6.875" customWidth="1"/>
    <col min="8" max="8" width="18.75" customWidth="1"/>
    <col min="9" max="9" width="8" customWidth="1"/>
    <col min="10" max="10" width="15.375" customWidth="1"/>
    <col min="11" max="11" width="8.5" customWidth="1"/>
    <col min="12" max="12" width="13.25" customWidth="1"/>
    <col min="13" max="13" width="11" customWidth="1"/>
    <col min="14" max="14" width="8.625" customWidth="1"/>
    <col min="15" max="15" width="14.375" customWidth="1"/>
    <col min="16" max="16" width="16.5" customWidth="1"/>
    <col min="17" max="17" width="16.875" customWidth="1"/>
    <col min="18" max="18" width="8.625" customWidth="1"/>
    <col min="19" max="19" width="21.75" customWidth="1"/>
    <col min="20" max="20" width="8.625" customWidth="1"/>
    <col min="21" max="21" width="6.625" bestFit="1" customWidth="1"/>
    <col min="22" max="22" width="8.25" customWidth="1"/>
    <col min="23" max="23" width="18" customWidth="1"/>
    <col min="24" max="24" width="8.25" customWidth="1"/>
    <col min="25" max="25" width="17.875" customWidth="1"/>
    <col min="26" max="26" width="9.75" customWidth="1"/>
    <col min="27" max="27" width="8.25" customWidth="1"/>
    <col min="28" max="28" width="8.5" customWidth="1"/>
    <col min="30" max="30" width="8"/>
  </cols>
  <sheetData>
    <row r="1" spans="1:28" s="4" customFormat="1" ht="82.5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</row>
    <row r="3" spans="1:28" x14ac:dyDescent="0.3">
      <c r="A3" t="s">
        <v>32</v>
      </c>
      <c r="B3" s="29">
        <v>20000</v>
      </c>
      <c r="C3" s="1">
        <v>41035.535416666666</v>
      </c>
      <c r="D3">
        <v>10</v>
      </c>
      <c r="E3" s="30">
        <v>1065</v>
      </c>
      <c r="F3" s="2">
        <v>8951</v>
      </c>
      <c r="G3" s="31">
        <v>152</v>
      </c>
      <c r="H3" s="2">
        <v>10661</v>
      </c>
      <c r="I3" s="31">
        <v>180</v>
      </c>
      <c r="J3" s="31">
        <v>1</v>
      </c>
      <c r="K3" s="31">
        <v>10</v>
      </c>
      <c r="L3" s="31">
        <v>58</v>
      </c>
      <c r="M3" s="31">
        <v>9</v>
      </c>
      <c r="N3" s="31">
        <v>2</v>
      </c>
      <c r="O3" s="30">
        <v>1090</v>
      </c>
      <c r="P3" s="31">
        <v>150</v>
      </c>
      <c r="Q3" s="2">
        <v>610</v>
      </c>
      <c r="R3" s="31">
        <v>9</v>
      </c>
      <c r="S3" s="2">
        <v>10156</v>
      </c>
      <c r="T3" s="31">
        <v>173</v>
      </c>
      <c r="U3" s="31">
        <v>182</v>
      </c>
      <c r="V3" s="31">
        <v>48.72</v>
      </c>
      <c r="W3" s="2">
        <v>625</v>
      </c>
      <c r="X3" s="31">
        <v>15</v>
      </c>
      <c r="Y3" s="2">
        <v>510</v>
      </c>
      <c r="Z3" s="31">
        <v>11</v>
      </c>
      <c r="AA3" s="2">
        <v>58.89</v>
      </c>
      <c r="AB3" s="31">
        <v>25</v>
      </c>
    </row>
    <row r="4" spans="1:28" x14ac:dyDescent="0.3">
      <c r="A4" t="s">
        <v>28</v>
      </c>
      <c r="B4" s="29">
        <v>200000</v>
      </c>
      <c r="C4" s="1">
        <v>41035.545138888891</v>
      </c>
      <c r="D4">
        <v>72</v>
      </c>
      <c r="E4" s="30">
        <v>4415</v>
      </c>
      <c r="F4" s="2">
        <v>178482.53</v>
      </c>
      <c r="G4" s="31">
        <v>1962</v>
      </c>
      <c r="H4" s="2">
        <v>322002.73</v>
      </c>
      <c r="I4" s="31">
        <v>2446</v>
      </c>
      <c r="J4" s="31">
        <v>24</v>
      </c>
      <c r="K4" s="31">
        <v>72</v>
      </c>
      <c r="L4" s="31">
        <v>351</v>
      </c>
      <c r="M4" s="31">
        <v>120</v>
      </c>
      <c r="N4" s="31">
        <v>40</v>
      </c>
      <c r="O4" s="30">
        <v>4490</v>
      </c>
      <c r="P4" s="31">
        <v>1700</v>
      </c>
      <c r="Q4" s="2">
        <v>19126</v>
      </c>
      <c r="R4" s="31">
        <v>142</v>
      </c>
      <c r="S4" s="2">
        <v>303576.73</v>
      </c>
      <c r="T4" s="31">
        <v>2307</v>
      </c>
      <c r="U4" s="31">
        <v>2449</v>
      </c>
      <c r="V4" s="31">
        <v>125.71</v>
      </c>
      <c r="W4" s="2">
        <v>60992.33</v>
      </c>
      <c r="X4" s="31">
        <v>33</v>
      </c>
      <c r="Y4" s="2">
        <v>84393.03</v>
      </c>
      <c r="Z4" s="31">
        <v>510</v>
      </c>
      <c r="AA4" s="2">
        <v>90.97</v>
      </c>
      <c r="AB4" s="31">
        <v>234</v>
      </c>
    </row>
    <row r="5" spans="1:28" x14ac:dyDescent="0.3">
      <c r="A5" t="s">
        <v>31</v>
      </c>
      <c r="B5" s="29">
        <v>150000</v>
      </c>
      <c r="C5" s="1">
        <v>41035.535416666666</v>
      </c>
      <c r="D5">
        <v>36</v>
      </c>
      <c r="E5" s="30">
        <v>2965</v>
      </c>
      <c r="F5" s="2">
        <v>107216</v>
      </c>
      <c r="G5" s="31">
        <v>1008</v>
      </c>
      <c r="H5" s="2">
        <v>166223.31</v>
      </c>
      <c r="I5" s="31">
        <v>1235</v>
      </c>
      <c r="J5" s="31">
        <v>1</v>
      </c>
      <c r="K5" s="31">
        <v>36</v>
      </c>
      <c r="L5" s="31">
        <v>233</v>
      </c>
      <c r="M5" s="31">
        <v>69</v>
      </c>
      <c r="N5" s="31">
        <v>8</v>
      </c>
      <c r="O5" s="30">
        <v>2965</v>
      </c>
      <c r="P5" s="31">
        <v>150</v>
      </c>
      <c r="Q5" s="2">
        <v>11611.77</v>
      </c>
      <c r="R5" s="31">
        <v>88</v>
      </c>
      <c r="S5" s="2">
        <v>156056.54</v>
      </c>
      <c r="T5" s="31">
        <v>1161</v>
      </c>
      <c r="U5" s="31">
        <v>1249</v>
      </c>
      <c r="V5" s="31">
        <v>127.8</v>
      </c>
      <c r="W5" s="2">
        <v>32036.66</v>
      </c>
      <c r="X5" s="31">
        <v>17</v>
      </c>
      <c r="Y5" s="2">
        <v>29417</v>
      </c>
      <c r="Z5" s="31">
        <v>300</v>
      </c>
      <c r="AA5" s="2">
        <v>106.36</v>
      </c>
      <c r="AB5" s="31">
        <v>155</v>
      </c>
    </row>
    <row r="6" spans="1:28" x14ac:dyDescent="0.3">
      <c r="A6" t="s">
        <v>30</v>
      </c>
      <c r="B6" s="29">
        <v>150000</v>
      </c>
      <c r="C6" s="1">
        <v>41035.501388888886</v>
      </c>
      <c r="D6">
        <v>33</v>
      </c>
      <c r="E6" s="30">
        <v>2865</v>
      </c>
      <c r="F6" s="2">
        <v>99378</v>
      </c>
      <c r="G6" s="31">
        <v>1154</v>
      </c>
      <c r="H6" s="2">
        <v>150204.19</v>
      </c>
      <c r="I6" s="31">
        <v>1342</v>
      </c>
      <c r="J6" s="31">
        <v>1</v>
      </c>
      <c r="K6" s="31">
        <v>33</v>
      </c>
      <c r="L6" s="31">
        <v>223</v>
      </c>
      <c r="M6" s="31">
        <v>79</v>
      </c>
      <c r="N6" s="31">
        <v>4</v>
      </c>
      <c r="O6" s="30">
        <v>2865</v>
      </c>
      <c r="P6" s="31">
        <v>700</v>
      </c>
      <c r="Q6" s="2">
        <v>19675</v>
      </c>
      <c r="R6" s="31">
        <v>101</v>
      </c>
      <c r="S6" s="2">
        <v>130659.19</v>
      </c>
      <c r="T6" s="31">
        <v>1243</v>
      </c>
      <c r="U6" s="31">
        <v>1344</v>
      </c>
      <c r="V6" s="31">
        <v>106.39</v>
      </c>
      <c r="W6" s="2">
        <v>17683.330000000002</v>
      </c>
      <c r="X6" s="31">
        <v>14</v>
      </c>
      <c r="Y6" s="2">
        <v>37941</v>
      </c>
      <c r="Z6" s="31">
        <v>350</v>
      </c>
      <c r="AA6" s="2">
        <v>86.12</v>
      </c>
      <c r="AB6" s="31">
        <v>150</v>
      </c>
    </row>
    <row r="7" spans="1:28" x14ac:dyDescent="0.3">
      <c r="A7" t="s">
        <v>29</v>
      </c>
      <c r="B7" s="29">
        <v>325000</v>
      </c>
      <c r="C7" s="1">
        <v>41035.536805555559</v>
      </c>
      <c r="D7">
        <v>41</v>
      </c>
      <c r="E7" s="30">
        <v>4440</v>
      </c>
      <c r="F7" s="2">
        <v>206967.44</v>
      </c>
      <c r="G7" s="31">
        <v>2225</v>
      </c>
      <c r="H7" s="2">
        <v>346066.68</v>
      </c>
      <c r="I7" s="31">
        <v>2770</v>
      </c>
      <c r="J7" s="31">
        <v>0</v>
      </c>
      <c r="K7" s="31">
        <v>41</v>
      </c>
      <c r="L7" s="31">
        <v>336</v>
      </c>
      <c r="M7" s="31">
        <v>89</v>
      </c>
      <c r="N7" s="31">
        <v>0</v>
      </c>
      <c r="O7" s="30">
        <v>4465</v>
      </c>
      <c r="P7" s="31">
        <v>950</v>
      </c>
      <c r="Q7" s="2">
        <v>23819</v>
      </c>
      <c r="R7" s="31">
        <v>107</v>
      </c>
      <c r="S7" s="2">
        <v>322917.68</v>
      </c>
      <c r="T7" s="31">
        <v>2667</v>
      </c>
      <c r="U7" s="31">
        <v>2774</v>
      </c>
      <c r="V7" s="31">
        <v>120.48</v>
      </c>
      <c r="W7" s="2">
        <v>20380.990000000002</v>
      </c>
      <c r="X7" s="31">
        <v>30</v>
      </c>
      <c r="Y7" s="2">
        <v>40807</v>
      </c>
      <c r="Z7" s="31">
        <v>421</v>
      </c>
      <c r="AA7" s="2">
        <v>93.02</v>
      </c>
      <c r="AB7" s="31">
        <v>205</v>
      </c>
    </row>
    <row r="8" spans="1:28" ht="5.25" customHeight="1" x14ac:dyDescent="0.3">
      <c r="B8" s="29"/>
      <c r="C8" s="1"/>
      <c r="E8" s="30"/>
      <c r="F8" s="2"/>
      <c r="G8" s="31"/>
      <c r="H8" s="2"/>
      <c r="I8" s="31"/>
      <c r="J8" s="31"/>
      <c r="K8" s="31"/>
      <c r="L8" s="31"/>
      <c r="M8" s="31"/>
      <c r="N8" s="31"/>
      <c r="O8" s="30"/>
      <c r="P8" s="31"/>
      <c r="Q8" s="2"/>
      <c r="R8" s="31"/>
      <c r="S8" s="2"/>
      <c r="T8" s="31"/>
      <c r="U8" s="31"/>
      <c r="V8" s="31"/>
      <c r="W8" s="2"/>
      <c r="X8" s="31"/>
      <c r="Y8" s="2"/>
      <c r="Z8" s="31"/>
      <c r="AA8" s="2"/>
      <c r="AB8" s="31"/>
    </row>
    <row r="9" spans="1:28" x14ac:dyDescent="0.3">
      <c r="A9" s="32"/>
      <c r="B9" s="33"/>
      <c r="C9" s="32"/>
      <c r="D9" s="32"/>
      <c r="E9" s="34">
        <f t="shared" ref="E9:Z9" si="0">SUM(E3:E7)</f>
        <v>15750</v>
      </c>
      <c r="F9" s="35">
        <f t="shared" si="0"/>
        <v>600994.97</v>
      </c>
      <c r="G9" s="36">
        <f t="shared" si="0"/>
        <v>6501</v>
      </c>
      <c r="H9" s="35">
        <f t="shared" si="0"/>
        <v>995157.90999999992</v>
      </c>
      <c r="I9" s="36">
        <f t="shared" si="0"/>
        <v>7973</v>
      </c>
      <c r="J9" s="36">
        <f t="shared" si="0"/>
        <v>27</v>
      </c>
      <c r="K9" s="36">
        <f t="shared" si="0"/>
        <v>192</v>
      </c>
      <c r="L9" s="36">
        <f t="shared" si="0"/>
        <v>1201</v>
      </c>
      <c r="M9" s="36">
        <f t="shared" si="0"/>
        <v>366</v>
      </c>
      <c r="N9" s="36">
        <f t="shared" si="0"/>
        <v>54</v>
      </c>
      <c r="O9" s="34">
        <f t="shared" si="0"/>
        <v>15875</v>
      </c>
      <c r="P9" s="36">
        <f t="shared" si="0"/>
        <v>3650</v>
      </c>
      <c r="Q9" s="35">
        <f t="shared" si="0"/>
        <v>74841.77</v>
      </c>
      <c r="R9" s="36">
        <f t="shared" si="0"/>
        <v>447</v>
      </c>
      <c r="S9" s="35">
        <f t="shared" si="0"/>
        <v>923366.1399999999</v>
      </c>
      <c r="T9" s="36">
        <f t="shared" si="0"/>
        <v>7551</v>
      </c>
      <c r="U9" s="36">
        <f t="shared" si="0"/>
        <v>7998</v>
      </c>
      <c r="V9" s="36">
        <f t="shared" si="0"/>
        <v>529.1</v>
      </c>
      <c r="W9" s="35">
        <f t="shared" si="0"/>
        <v>131718.31</v>
      </c>
      <c r="X9" s="36">
        <f t="shared" si="0"/>
        <v>109</v>
      </c>
      <c r="Y9" s="35">
        <f t="shared" si="0"/>
        <v>193068.03</v>
      </c>
      <c r="Z9" s="36">
        <f t="shared" si="0"/>
        <v>1592</v>
      </c>
      <c r="AA9" s="32"/>
      <c r="AB9" s="36">
        <f>SUM(AB3:AB7)</f>
        <v>769</v>
      </c>
    </row>
    <row r="10" spans="1:28" x14ac:dyDescent="0.3">
      <c r="B10" s="29"/>
      <c r="E10" s="30"/>
      <c r="J10" s="31"/>
      <c r="K10" s="31"/>
      <c r="L10" s="31"/>
      <c r="M10" s="31"/>
      <c r="N10" s="31"/>
      <c r="O10" s="30"/>
      <c r="P10" s="31"/>
      <c r="R10" s="31"/>
      <c r="T10" s="31"/>
      <c r="U10" s="31"/>
      <c r="V10" s="31"/>
      <c r="X10" s="31"/>
      <c r="Z10" s="31"/>
      <c r="AB10" s="31"/>
    </row>
    <row r="11" spans="1:28" x14ac:dyDescent="0.3">
      <c r="A11" t="s">
        <v>34</v>
      </c>
      <c r="B11" s="29">
        <v>20000</v>
      </c>
      <c r="C11" s="1">
        <v>41399.368055555555</v>
      </c>
      <c r="D11">
        <v>9</v>
      </c>
      <c r="E11" s="30">
        <v>720</v>
      </c>
      <c r="F11" s="2">
        <v>6535</v>
      </c>
      <c r="G11">
        <v>110</v>
      </c>
      <c r="H11" s="2">
        <v>7896</v>
      </c>
      <c r="I11">
        <v>139</v>
      </c>
      <c r="J11" s="31">
        <v>0</v>
      </c>
      <c r="K11" s="31">
        <v>9</v>
      </c>
      <c r="L11" s="31">
        <v>38</v>
      </c>
      <c r="M11" s="31">
        <v>11</v>
      </c>
      <c r="N11" s="31">
        <v>0</v>
      </c>
      <c r="O11" s="30">
        <v>720</v>
      </c>
      <c r="P11" s="31">
        <v>200</v>
      </c>
      <c r="Q11" s="2">
        <v>990</v>
      </c>
      <c r="R11" s="31">
        <v>15</v>
      </c>
      <c r="S11" s="2">
        <v>7422</v>
      </c>
      <c r="T11" s="31">
        <v>143</v>
      </c>
      <c r="U11" s="31">
        <v>158</v>
      </c>
      <c r="V11" s="31">
        <v>48.91</v>
      </c>
      <c r="W11" s="2">
        <v>135</v>
      </c>
      <c r="X11" s="31">
        <v>3</v>
      </c>
      <c r="Y11" s="2">
        <v>1320</v>
      </c>
      <c r="Z11" s="31">
        <v>17</v>
      </c>
      <c r="AA11" s="2">
        <v>59.41</v>
      </c>
      <c r="AB11" s="31">
        <v>24</v>
      </c>
    </row>
    <row r="12" spans="1:28" x14ac:dyDescent="0.3">
      <c r="A12" t="s">
        <v>33</v>
      </c>
      <c r="B12" s="29">
        <v>325000</v>
      </c>
      <c r="C12" s="1">
        <v>41399.529166666667</v>
      </c>
      <c r="D12">
        <v>55</v>
      </c>
      <c r="E12" s="30">
        <v>6255</v>
      </c>
      <c r="F12" s="2">
        <v>168042.27</v>
      </c>
      <c r="G12">
        <v>1962</v>
      </c>
      <c r="H12" s="2">
        <v>313257.15999999997</v>
      </c>
      <c r="I12">
        <v>2397</v>
      </c>
      <c r="J12" s="31">
        <v>0</v>
      </c>
      <c r="K12" s="31">
        <v>55</v>
      </c>
      <c r="L12" s="31">
        <v>303</v>
      </c>
      <c r="M12" s="31">
        <v>57</v>
      </c>
      <c r="N12" s="31">
        <v>0</v>
      </c>
      <c r="O12" s="30">
        <v>6255</v>
      </c>
      <c r="P12" s="31">
        <v>450</v>
      </c>
      <c r="Q12" s="2">
        <v>12981.61</v>
      </c>
      <c r="R12" s="31">
        <v>77</v>
      </c>
      <c r="S12" s="2">
        <v>300600.55</v>
      </c>
      <c r="T12" s="31">
        <v>2327</v>
      </c>
      <c r="U12" s="31">
        <v>2404</v>
      </c>
      <c r="V12" s="31">
        <v>122.78</v>
      </c>
      <c r="W12" s="2">
        <v>47087.33</v>
      </c>
      <c r="X12" s="31">
        <v>19</v>
      </c>
      <c r="Y12" s="2">
        <v>91224.75</v>
      </c>
      <c r="Z12" s="31">
        <v>513</v>
      </c>
      <c r="AA12" s="2">
        <v>85.65</v>
      </c>
      <c r="AB12" s="31">
        <v>207</v>
      </c>
    </row>
    <row r="13" spans="1:28" x14ac:dyDescent="0.3">
      <c r="A13" t="s">
        <v>35</v>
      </c>
      <c r="B13" s="29">
        <v>200000</v>
      </c>
      <c r="C13" s="1">
        <v>41399.11041666667</v>
      </c>
      <c r="D13">
        <v>35</v>
      </c>
      <c r="E13" s="30">
        <v>3555</v>
      </c>
      <c r="F13" s="2">
        <v>85875</v>
      </c>
      <c r="G13">
        <v>784</v>
      </c>
      <c r="H13" s="2">
        <v>168282.86</v>
      </c>
      <c r="I13">
        <v>944</v>
      </c>
      <c r="J13" s="31">
        <v>0</v>
      </c>
      <c r="K13" s="31">
        <v>35</v>
      </c>
      <c r="L13" s="31">
        <v>181</v>
      </c>
      <c r="M13" s="31">
        <v>44</v>
      </c>
      <c r="N13" s="31">
        <v>0</v>
      </c>
      <c r="O13" s="30">
        <v>3590</v>
      </c>
      <c r="P13" s="31">
        <v>500</v>
      </c>
      <c r="Q13" s="2">
        <v>6814.52</v>
      </c>
      <c r="R13" s="31">
        <v>49</v>
      </c>
      <c r="S13" s="2">
        <v>166468.34</v>
      </c>
      <c r="T13" s="31">
        <v>896</v>
      </c>
      <c r="U13" s="31">
        <v>945</v>
      </c>
      <c r="V13" s="31">
        <v>173.8</v>
      </c>
      <c r="W13" s="2">
        <v>1220</v>
      </c>
      <c r="X13" s="31">
        <v>5</v>
      </c>
      <c r="Y13" s="2">
        <v>33063</v>
      </c>
      <c r="Z13" s="31">
        <v>287</v>
      </c>
      <c r="AA13" s="2">
        <v>109.53</v>
      </c>
      <c r="AB13" s="31">
        <v>103</v>
      </c>
    </row>
    <row r="14" spans="1:28" x14ac:dyDescent="0.3">
      <c r="A14" t="s">
        <v>36</v>
      </c>
      <c r="B14" s="29">
        <v>200000</v>
      </c>
      <c r="C14" s="1">
        <v>41399.149305555555</v>
      </c>
      <c r="D14">
        <v>28</v>
      </c>
      <c r="E14" s="30">
        <v>3185</v>
      </c>
      <c r="F14" s="2">
        <v>89382</v>
      </c>
      <c r="G14">
        <v>907</v>
      </c>
      <c r="H14" s="2">
        <v>127488</v>
      </c>
      <c r="I14">
        <v>1030</v>
      </c>
      <c r="J14" s="31">
        <v>0</v>
      </c>
      <c r="K14" s="31">
        <v>28</v>
      </c>
      <c r="L14" s="31">
        <v>183</v>
      </c>
      <c r="M14" s="31">
        <v>51</v>
      </c>
      <c r="N14" s="31">
        <v>0</v>
      </c>
      <c r="O14" s="30">
        <v>3185</v>
      </c>
      <c r="P14" s="31">
        <v>300</v>
      </c>
      <c r="Q14" s="2">
        <v>11872</v>
      </c>
      <c r="R14" s="31">
        <v>61</v>
      </c>
      <c r="S14" s="2">
        <v>117016</v>
      </c>
      <c r="T14" s="31">
        <v>975</v>
      </c>
      <c r="U14" s="31">
        <v>1036</v>
      </c>
      <c r="V14" s="31">
        <v>118.79</v>
      </c>
      <c r="W14" s="2">
        <v>10137</v>
      </c>
      <c r="X14" s="31">
        <v>13</v>
      </c>
      <c r="Y14" s="2">
        <v>53468</v>
      </c>
      <c r="Z14" s="31">
        <v>280</v>
      </c>
      <c r="AA14" s="2">
        <v>98.55</v>
      </c>
      <c r="AB14" s="31">
        <v>125</v>
      </c>
    </row>
    <row r="15" spans="1:28" x14ac:dyDescent="0.3">
      <c r="A15" t="s">
        <v>37</v>
      </c>
      <c r="B15" s="29">
        <v>400000</v>
      </c>
      <c r="C15" s="1">
        <v>41399.529861111114</v>
      </c>
      <c r="D15">
        <v>40</v>
      </c>
      <c r="E15" s="30">
        <v>5010</v>
      </c>
      <c r="F15" s="2">
        <v>193610</v>
      </c>
      <c r="G15">
        <v>1855</v>
      </c>
      <c r="H15" s="2">
        <v>318990.11</v>
      </c>
      <c r="I15">
        <v>2195</v>
      </c>
      <c r="J15" s="31">
        <v>0</v>
      </c>
      <c r="K15" s="31">
        <v>40</v>
      </c>
      <c r="L15" s="31">
        <v>251</v>
      </c>
      <c r="M15" s="31">
        <v>83</v>
      </c>
      <c r="N15" s="31">
        <v>0</v>
      </c>
      <c r="O15" s="30">
        <v>5010</v>
      </c>
      <c r="P15" s="31">
        <v>650</v>
      </c>
      <c r="Q15" s="2">
        <v>26170</v>
      </c>
      <c r="R15" s="31">
        <v>107</v>
      </c>
      <c r="S15" s="2">
        <v>294125.11</v>
      </c>
      <c r="T15" s="31">
        <v>2105</v>
      </c>
      <c r="U15" s="31">
        <v>2212</v>
      </c>
      <c r="V15" s="31">
        <v>139.62</v>
      </c>
      <c r="W15" s="2">
        <v>170</v>
      </c>
      <c r="X15" s="31">
        <v>3</v>
      </c>
      <c r="Y15" s="2">
        <v>80021.05</v>
      </c>
      <c r="Z15" s="31">
        <v>511</v>
      </c>
      <c r="AA15" s="2">
        <v>104.37</v>
      </c>
      <c r="AB15" s="31">
        <v>168</v>
      </c>
    </row>
    <row r="16" spans="1:28" ht="5.25" customHeight="1" x14ac:dyDescent="0.3">
      <c r="B16" s="29"/>
      <c r="C16" s="1"/>
      <c r="E16" s="30"/>
      <c r="F16" s="2"/>
      <c r="H16" s="2"/>
      <c r="J16" s="31"/>
      <c r="K16" s="31"/>
      <c r="L16" s="31"/>
      <c r="M16" s="31"/>
      <c r="N16" s="31"/>
      <c r="O16" s="30"/>
      <c r="P16" s="31"/>
      <c r="Q16" s="2"/>
      <c r="R16" s="31"/>
      <c r="S16" s="2"/>
      <c r="T16" s="31"/>
      <c r="U16" s="31"/>
      <c r="V16" s="31"/>
      <c r="W16" s="2"/>
      <c r="X16" s="31"/>
      <c r="Y16" s="2"/>
      <c r="Z16" s="31"/>
      <c r="AA16" s="2"/>
      <c r="AB16" s="31"/>
    </row>
    <row r="17" spans="1:28" x14ac:dyDescent="0.3">
      <c r="A17" s="32"/>
      <c r="B17" s="33"/>
      <c r="C17" s="32"/>
      <c r="D17" s="32"/>
      <c r="E17" s="34">
        <v>18725</v>
      </c>
      <c r="F17" s="35">
        <v>543444.27</v>
      </c>
      <c r="G17" s="32">
        <v>5618</v>
      </c>
      <c r="H17" s="35">
        <v>935914.13</v>
      </c>
      <c r="I17" s="32">
        <v>6705</v>
      </c>
      <c r="J17" s="36">
        <v>0</v>
      </c>
      <c r="K17" s="36">
        <v>167</v>
      </c>
      <c r="L17" s="36">
        <v>956</v>
      </c>
      <c r="M17" s="36">
        <v>246</v>
      </c>
      <c r="N17" s="36">
        <v>0</v>
      </c>
      <c r="O17" s="34">
        <v>18760</v>
      </c>
      <c r="P17" s="36">
        <v>2100</v>
      </c>
      <c r="Q17" s="35">
        <v>58828.13</v>
      </c>
      <c r="R17" s="36">
        <v>309</v>
      </c>
      <c r="S17" s="35">
        <v>885632</v>
      </c>
      <c r="T17" s="36">
        <v>6446</v>
      </c>
      <c r="U17" s="36">
        <v>6755</v>
      </c>
      <c r="V17" s="36">
        <v>603.9</v>
      </c>
      <c r="W17" s="35">
        <v>58749.33</v>
      </c>
      <c r="X17" s="36">
        <v>43</v>
      </c>
      <c r="Y17" s="35">
        <v>259096.8</v>
      </c>
      <c r="Z17" s="36">
        <v>1608</v>
      </c>
      <c r="AA17" s="32"/>
      <c r="AB17" s="36">
        <v>627</v>
      </c>
    </row>
    <row r="18" spans="1:28" x14ac:dyDescent="0.3">
      <c r="B18" s="29"/>
      <c r="E18" s="30"/>
      <c r="J18" s="31"/>
      <c r="K18" s="31"/>
      <c r="L18" s="31"/>
      <c r="M18" s="31"/>
      <c r="N18" s="31"/>
      <c r="O18" s="30"/>
      <c r="P18" s="31"/>
      <c r="R18" s="31"/>
      <c r="T18" s="31"/>
      <c r="U18" s="31"/>
      <c r="V18" s="31"/>
      <c r="X18" s="31"/>
      <c r="Z18" s="31"/>
      <c r="AB18" s="31"/>
    </row>
    <row r="19" spans="1:28" x14ac:dyDescent="0.3">
      <c r="A19" t="s">
        <v>38</v>
      </c>
      <c r="B19" s="29">
        <v>20000</v>
      </c>
      <c r="C19" s="1">
        <v>41763.683333333334</v>
      </c>
      <c r="D19">
        <v>10</v>
      </c>
      <c r="E19" s="30">
        <v>690</v>
      </c>
      <c r="F19" s="2">
        <v>4591.0200000000004</v>
      </c>
      <c r="G19">
        <v>96</v>
      </c>
      <c r="H19" s="2">
        <v>11506.02</v>
      </c>
      <c r="I19">
        <v>111</v>
      </c>
      <c r="J19" s="31">
        <v>0</v>
      </c>
      <c r="K19" s="31">
        <v>10</v>
      </c>
      <c r="L19" s="31">
        <v>41</v>
      </c>
      <c r="M19" s="31">
        <v>7</v>
      </c>
      <c r="N19" s="31">
        <v>1</v>
      </c>
      <c r="O19" s="30">
        <v>725</v>
      </c>
      <c r="P19" s="31">
        <v>250</v>
      </c>
      <c r="Q19" s="2">
        <v>433</v>
      </c>
      <c r="R19" s="31">
        <v>8</v>
      </c>
      <c r="S19" s="2">
        <v>11073.02</v>
      </c>
      <c r="T19" s="31">
        <v>103</v>
      </c>
      <c r="U19" s="31">
        <v>111</v>
      </c>
      <c r="V19" s="31">
        <v>93.54</v>
      </c>
      <c r="W19" s="2">
        <v>6755</v>
      </c>
      <c r="X19" s="31">
        <v>15</v>
      </c>
      <c r="Y19" s="2">
        <v>983</v>
      </c>
      <c r="Z19" s="31">
        <v>17</v>
      </c>
      <c r="AA19" s="2">
        <v>47.82</v>
      </c>
      <c r="AB19" s="31">
        <v>19</v>
      </c>
    </row>
    <row r="20" spans="1:28" x14ac:dyDescent="0.3">
      <c r="A20" t="s">
        <v>40</v>
      </c>
      <c r="B20" s="29">
        <v>350000</v>
      </c>
      <c r="C20" s="1">
        <v>41763.400694444441</v>
      </c>
      <c r="D20">
        <v>59</v>
      </c>
      <c r="E20" s="30">
        <v>6330</v>
      </c>
      <c r="F20" s="2">
        <v>188920.04</v>
      </c>
      <c r="G20">
        <v>1916</v>
      </c>
      <c r="H20" s="2">
        <v>336809.6</v>
      </c>
      <c r="I20">
        <v>2264</v>
      </c>
      <c r="J20" s="31">
        <v>18</v>
      </c>
      <c r="K20" s="31">
        <v>59</v>
      </c>
      <c r="L20" s="31">
        <v>359</v>
      </c>
      <c r="M20" s="31">
        <v>85</v>
      </c>
      <c r="N20" s="31">
        <v>37</v>
      </c>
      <c r="O20" s="30">
        <v>6720</v>
      </c>
      <c r="P20" s="31">
        <v>850</v>
      </c>
      <c r="Q20" s="2">
        <v>20024</v>
      </c>
      <c r="R20" s="31">
        <v>107</v>
      </c>
      <c r="S20" s="2">
        <v>333637.59999999998</v>
      </c>
      <c r="T20" s="31">
        <v>2174</v>
      </c>
      <c r="U20" s="31">
        <v>2281</v>
      </c>
      <c r="V20" s="31">
        <v>145</v>
      </c>
      <c r="W20" s="2">
        <v>48169</v>
      </c>
      <c r="X20" s="31">
        <v>27</v>
      </c>
      <c r="Y20" s="2">
        <v>94444.21</v>
      </c>
      <c r="Z20" s="31">
        <v>451</v>
      </c>
      <c r="AA20" s="2">
        <v>98.6</v>
      </c>
      <c r="AB20" s="31">
        <v>267</v>
      </c>
    </row>
    <row r="21" spans="1:28" x14ac:dyDescent="0.3">
      <c r="A21" t="s">
        <v>41</v>
      </c>
      <c r="B21" s="29">
        <v>200000</v>
      </c>
      <c r="C21" s="1">
        <v>41763.461111111108</v>
      </c>
      <c r="D21">
        <v>31</v>
      </c>
      <c r="E21" s="30">
        <v>3405</v>
      </c>
      <c r="F21" s="2">
        <v>99600</v>
      </c>
      <c r="G21">
        <v>865</v>
      </c>
      <c r="H21" s="2">
        <v>171270.73</v>
      </c>
      <c r="I21">
        <v>1005</v>
      </c>
      <c r="J21" s="31">
        <v>26</v>
      </c>
      <c r="K21" s="31">
        <v>31</v>
      </c>
      <c r="L21" s="31">
        <v>168</v>
      </c>
      <c r="M21" s="31">
        <v>40</v>
      </c>
      <c r="N21" s="31">
        <v>15</v>
      </c>
      <c r="O21" s="30">
        <v>3545</v>
      </c>
      <c r="P21" s="31">
        <v>250</v>
      </c>
      <c r="Q21" s="2">
        <v>9243</v>
      </c>
      <c r="R21" s="31">
        <v>46</v>
      </c>
      <c r="S21" s="2">
        <v>162830.73000000001</v>
      </c>
      <c r="T21" s="31">
        <v>964</v>
      </c>
      <c r="U21" s="31">
        <v>1010</v>
      </c>
      <c r="V21" s="31">
        <v>161.41999999999999</v>
      </c>
      <c r="W21" s="2">
        <v>6880.36</v>
      </c>
      <c r="X21" s="31">
        <v>9</v>
      </c>
      <c r="Y21" s="2">
        <v>32007.95</v>
      </c>
      <c r="Z21" s="31">
        <v>208</v>
      </c>
      <c r="AA21" s="2">
        <v>115.14</v>
      </c>
      <c r="AB21" s="31">
        <v>108</v>
      </c>
    </row>
    <row r="22" spans="1:28" x14ac:dyDescent="0.3">
      <c r="A22" t="s">
        <v>42</v>
      </c>
      <c r="B22" s="29">
        <v>200000</v>
      </c>
      <c r="C22" s="1">
        <v>41763.461805555555</v>
      </c>
      <c r="D22">
        <v>26</v>
      </c>
      <c r="E22" s="30">
        <v>2835</v>
      </c>
      <c r="F22" s="2">
        <v>81241.47</v>
      </c>
      <c r="G22">
        <v>685</v>
      </c>
      <c r="H22" s="2">
        <v>124520.72</v>
      </c>
      <c r="I22">
        <v>802</v>
      </c>
      <c r="J22" s="31">
        <v>2</v>
      </c>
      <c r="K22" s="31">
        <v>26</v>
      </c>
      <c r="L22" s="31">
        <v>147</v>
      </c>
      <c r="M22" s="31">
        <v>38</v>
      </c>
      <c r="N22" s="31">
        <v>3</v>
      </c>
      <c r="O22" s="30">
        <v>2835</v>
      </c>
      <c r="P22" s="31">
        <v>450</v>
      </c>
      <c r="Q22" s="2">
        <v>13337.5</v>
      </c>
      <c r="R22" s="31">
        <v>43</v>
      </c>
      <c r="S22" s="2">
        <v>111383.22</v>
      </c>
      <c r="T22" s="31">
        <v>760</v>
      </c>
      <c r="U22" s="31">
        <v>803</v>
      </c>
      <c r="V22" s="31">
        <v>147.94999999999999</v>
      </c>
      <c r="W22" s="2">
        <v>13653</v>
      </c>
      <c r="X22" s="31">
        <v>7</v>
      </c>
      <c r="Y22" s="2">
        <v>29199.5</v>
      </c>
      <c r="Z22" s="31">
        <v>201</v>
      </c>
      <c r="AA22" s="2">
        <v>118.6</v>
      </c>
      <c r="AB22" s="31">
        <v>103</v>
      </c>
    </row>
    <row r="23" spans="1:28" x14ac:dyDescent="0.3">
      <c r="A23" t="s">
        <v>39</v>
      </c>
      <c r="B23" s="29">
        <v>350000</v>
      </c>
      <c r="C23" s="1">
        <v>41763.025694444441</v>
      </c>
      <c r="D23">
        <v>40</v>
      </c>
      <c r="E23" s="30">
        <v>4695</v>
      </c>
      <c r="F23" s="2">
        <v>209469.83</v>
      </c>
      <c r="G23">
        <v>1745</v>
      </c>
      <c r="H23" s="2">
        <v>286546.61</v>
      </c>
      <c r="I23">
        <v>2059</v>
      </c>
      <c r="J23" s="31">
        <v>30</v>
      </c>
      <c r="K23" s="31">
        <v>40</v>
      </c>
      <c r="L23" s="31">
        <v>266</v>
      </c>
      <c r="M23" s="31">
        <v>81</v>
      </c>
      <c r="N23" s="31">
        <v>32</v>
      </c>
      <c r="O23" s="30">
        <v>4695</v>
      </c>
      <c r="P23" s="31">
        <v>700</v>
      </c>
      <c r="Q23" s="2">
        <v>19480</v>
      </c>
      <c r="R23" s="31">
        <v>95</v>
      </c>
      <c r="S23" s="2">
        <v>267936.61</v>
      </c>
      <c r="T23" s="31">
        <v>1972</v>
      </c>
      <c r="U23" s="31">
        <v>2067</v>
      </c>
      <c r="V23" s="31">
        <v>134.12</v>
      </c>
      <c r="W23" s="2">
        <v>956</v>
      </c>
      <c r="X23" s="31">
        <v>4</v>
      </c>
      <c r="Y23" s="2">
        <v>57778.83</v>
      </c>
      <c r="Z23" s="31">
        <v>398</v>
      </c>
      <c r="AA23" s="2">
        <v>120.04</v>
      </c>
      <c r="AB23" s="31">
        <v>199</v>
      </c>
    </row>
    <row r="24" spans="1:28" ht="5.25" customHeight="1" x14ac:dyDescent="0.3">
      <c r="B24" s="29"/>
      <c r="C24" s="1"/>
      <c r="E24" s="30"/>
      <c r="F24" s="2"/>
      <c r="H24" s="2"/>
      <c r="J24" s="31"/>
      <c r="K24" s="31"/>
      <c r="L24" s="31"/>
      <c r="M24" s="31"/>
      <c r="N24" s="31"/>
      <c r="O24" s="30"/>
      <c r="P24" s="31"/>
      <c r="Q24" s="2"/>
      <c r="R24" s="31"/>
      <c r="S24" s="2"/>
      <c r="T24" s="31"/>
      <c r="U24" s="31"/>
      <c r="V24" s="31"/>
      <c r="W24" s="2"/>
      <c r="X24" s="31"/>
      <c r="Y24" s="2"/>
      <c r="Z24" s="31"/>
      <c r="AA24" s="2"/>
      <c r="AB24" s="31"/>
    </row>
    <row r="25" spans="1:28" x14ac:dyDescent="0.3">
      <c r="A25" s="32"/>
      <c r="B25" s="33"/>
      <c r="C25" s="32"/>
      <c r="D25" s="32"/>
      <c r="E25" s="34">
        <v>17955</v>
      </c>
      <c r="F25" s="35">
        <v>583822.36</v>
      </c>
      <c r="G25" s="32">
        <v>5307</v>
      </c>
      <c r="H25" s="35">
        <v>930653.68</v>
      </c>
      <c r="I25" s="32">
        <v>6241</v>
      </c>
      <c r="J25" s="36">
        <v>76</v>
      </c>
      <c r="K25" s="36">
        <v>166</v>
      </c>
      <c r="L25" s="36">
        <v>981</v>
      </c>
      <c r="M25" s="36">
        <v>251</v>
      </c>
      <c r="N25" s="36">
        <v>88</v>
      </c>
      <c r="O25" s="34">
        <v>18520</v>
      </c>
      <c r="P25" s="36">
        <v>2500</v>
      </c>
      <c r="Q25" s="35">
        <v>62517.5</v>
      </c>
      <c r="R25" s="36">
        <v>299</v>
      </c>
      <c r="S25" s="35">
        <v>886861.18</v>
      </c>
      <c r="T25" s="36">
        <v>5973</v>
      </c>
      <c r="U25" s="36">
        <v>6272</v>
      </c>
      <c r="V25" s="36">
        <v>682.03</v>
      </c>
      <c r="W25" s="35">
        <v>76413.36</v>
      </c>
      <c r="X25" s="36">
        <v>62</v>
      </c>
      <c r="Y25" s="35">
        <v>214413.49</v>
      </c>
      <c r="Z25" s="36">
        <v>1275</v>
      </c>
      <c r="AA25" s="32"/>
      <c r="AB25" s="36">
        <v>696</v>
      </c>
    </row>
    <row r="30" spans="1:28" x14ac:dyDescent="0.3">
      <c r="J30" s="2"/>
      <c r="K30" s="2"/>
      <c r="L30" s="2"/>
      <c r="M30" s="2"/>
      <c r="N30" s="3"/>
      <c r="O30" s="3"/>
      <c r="P30" s="3"/>
    </row>
    <row r="31" spans="1:28" x14ac:dyDescent="0.3">
      <c r="J31" s="2"/>
      <c r="K31" s="2"/>
      <c r="L31" s="2"/>
      <c r="M31" s="2"/>
      <c r="N31" s="3"/>
      <c r="O31" s="3"/>
      <c r="P31" s="3"/>
    </row>
    <row r="32" spans="1:28" x14ac:dyDescent="0.3">
      <c r="J32" s="2"/>
      <c r="K32" s="2"/>
      <c r="L32" s="2"/>
      <c r="M32" s="2"/>
      <c r="N32" s="3"/>
      <c r="O32" s="3"/>
      <c r="P32" s="3"/>
    </row>
    <row r="36" spans="10:12" x14ac:dyDescent="0.3">
      <c r="L36" s="3"/>
    </row>
    <row r="37" spans="10:12" x14ac:dyDescent="0.3">
      <c r="L37" s="3"/>
    </row>
    <row r="38" spans="10:12" x14ac:dyDescent="0.3">
      <c r="L38" s="3"/>
    </row>
    <row r="42" spans="10:12" x14ac:dyDescent="0.3">
      <c r="J42" s="2"/>
      <c r="L42" s="2"/>
    </row>
    <row r="43" spans="10:12" x14ac:dyDescent="0.3">
      <c r="J43" s="2"/>
      <c r="L43" s="2"/>
    </row>
    <row r="44" spans="10:12" x14ac:dyDescent="0.3">
      <c r="J44" s="2"/>
      <c r="L44" s="2"/>
    </row>
  </sheetData>
  <sortState ref="A4:AB8">
    <sortCondition ref="A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zoomScaleNormal="100" workbookViewId="0">
      <selection activeCell="B35" sqref="B35:C37"/>
    </sheetView>
  </sheetViews>
  <sheetFormatPr defaultRowHeight="16.5" x14ac:dyDescent="0.3"/>
  <cols>
    <col min="1" max="1" width="23.5" customWidth="1"/>
    <col min="2" max="2" width="20.375" customWidth="1"/>
    <col min="3" max="3" width="17.875" customWidth="1"/>
    <col min="4" max="4" width="14.5" customWidth="1"/>
    <col min="5" max="5" width="14" customWidth="1"/>
    <col min="6" max="6" width="17.75" customWidth="1"/>
    <col min="7" max="7" width="18.25" customWidth="1"/>
    <col min="8" max="8" width="15.875" customWidth="1"/>
  </cols>
  <sheetData>
    <row r="1" spans="1:8" x14ac:dyDescent="0.3">
      <c r="A1" s="6" t="s">
        <v>106</v>
      </c>
    </row>
    <row r="3" spans="1:8" x14ac:dyDescent="0.3">
      <c r="A3" s="63" t="s">
        <v>102</v>
      </c>
      <c r="B3" s="113"/>
      <c r="C3" s="113"/>
      <c r="D3" s="113"/>
      <c r="E3" s="113"/>
    </row>
    <row r="4" spans="1:8" x14ac:dyDescent="0.3">
      <c r="A4" s="65" t="s">
        <v>105</v>
      </c>
      <c r="B4" s="113"/>
      <c r="C4" s="113"/>
      <c r="D4" s="113"/>
      <c r="E4" s="113"/>
    </row>
    <row r="5" spans="1:8" x14ac:dyDescent="0.3">
      <c r="E5" s="7"/>
      <c r="F5" s="7"/>
      <c r="G5" s="7"/>
      <c r="H5" s="7"/>
    </row>
    <row r="6" spans="1:8" x14ac:dyDescent="0.3">
      <c r="A6" s="114" t="str">
        <f>B4&amp;" - Revenue Distribution"</f>
        <v xml:space="preserve"> - Revenue Distribution</v>
      </c>
      <c r="B6" s="114"/>
      <c r="C6" s="114"/>
      <c r="D6" s="114"/>
      <c r="E6" s="7"/>
      <c r="F6" s="7"/>
      <c r="G6" s="7"/>
      <c r="H6" s="7"/>
    </row>
    <row r="7" spans="1:8" s="4" customFormat="1" ht="50.25" customHeight="1" x14ac:dyDescent="0.3">
      <c r="B7" s="28" t="s">
        <v>7</v>
      </c>
      <c r="C7" s="28" t="s">
        <v>43</v>
      </c>
      <c r="D7" s="28" t="s">
        <v>56</v>
      </c>
      <c r="E7" s="28" t="s">
        <v>44</v>
      </c>
      <c r="F7" s="28" t="s">
        <v>93</v>
      </c>
      <c r="G7" s="28" t="s">
        <v>101</v>
      </c>
      <c r="H7" s="28" t="s">
        <v>45</v>
      </c>
    </row>
    <row r="8" spans="1:8" x14ac:dyDescent="0.3">
      <c r="A8">
        <v>2012</v>
      </c>
      <c r="B8" s="106"/>
      <c r="C8" s="42"/>
      <c r="D8" s="42"/>
      <c r="E8" s="42"/>
      <c r="F8" s="37">
        <f>IFERROR(C8/B8,0)</f>
        <v>0</v>
      </c>
      <c r="G8" s="37">
        <f>IFERROR(D8/B8,0)</f>
        <v>0</v>
      </c>
      <c r="H8" s="37">
        <f>IFERROR(E8/B8,0)</f>
        <v>0</v>
      </c>
    </row>
    <row r="9" spans="1:8" x14ac:dyDescent="0.3">
      <c r="A9">
        <v>2013</v>
      </c>
      <c r="B9" s="106"/>
      <c r="C9" s="42"/>
      <c r="D9" s="42"/>
      <c r="E9" s="42"/>
      <c r="F9" s="37">
        <f>IFERROR(C9/B9,0)</f>
        <v>0</v>
      </c>
      <c r="G9" s="37">
        <f>IFERROR(D9/B9,0)</f>
        <v>0</v>
      </c>
      <c r="H9" s="37">
        <f>IFERROR(E9/B9,0)</f>
        <v>0</v>
      </c>
    </row>
    <row r="10" spans="1:8" x14ac:dyDescent="0.3">
      <c r="A10">
        <v>2014</v>
      </c>
      <c r="B10" s="106"/>
      <c r="C10" s="42"/>
      <c r="D10" s="42"/>
      <c r="E10" s="42"/>
      <c r="F10" s="37">
        <f>IFERROR(C10/B10,0)</f>
        <v>0</v>
      </c>
      <c r="G10" s="37">
        <f>IFERROR(D10/B10,0)</f>
        <v>0</v>
      </c>
      <c r="H10" s="37">
        <f>IFERROR(E10/B10,0)</f>
        <v>0</v>
      </c>
    </row>
    <row r="13" spans="1:8" ht="24" customHeight="1" x14ac:dyDescent="0.3">
      <c r="A13" s="115" t="str">
        <f>B4&amp;" - % of Population Fundraising"</f>
        <v xml:space="preserve"> - % of Population Fundraising</v>
      </c>
      <c r="B13" s="115"/>
      <c r="C13" s="115"/>
      <c r="D13" s="115"/>
    </row>
    <row r="14" spans="1:8" ht="50.25" customHeight="1" x14ac:dyDescent="0.3">
      <c r="B14" s="28" t="s">
        <v>27</v>
      </c>
      <c r="C14" s="28" t="s">
        <v>11</v>
      </c>
      <c r="D14" s="28" t="s">
        <v>62</v>
      </c>
    </row>
    <row r="15" spans="1:8" x14ac:dyDescent="0.3">
      <c r="A15">
        <v>2012</v>
      </c>
      <c r="B15" s="43"/>
      <c r="C15" s="43"/>
      <c r="D15" s="44" t="e">
        <f>B15/C15</f>
        <v>#DIV/0!</v>
      </c>
    </row>
    <row r="16" spans="1:8" x14ac:dyDescent="0.3">
      <c r="A16">
        <v>2013</v>
      </c>
      <c r="B16" s="43"/>
      <c r="C16" s="43"/>
      <c r="D16" s="44" t="e">
        <f t="shared" ref="D16:D17" si="0">B16/C16</f>
        <v>#DIV/0!</v>
      </c>
    </row>
    <row r="17" spans="1:5" x14ac:dyDescent="0.3">
      <c r="A17">
        <v>2014</v>
      </c>
      <c r="B17" s="43"/>
      <c r="C17" s="43"/>
      <c r="D17" s="44" t="e">
        <f t="shared" si="0"/>
        <v>#DIV/0!</v>
      </c>
    </row>
    <row r="19" spans="1:5" ht="24" customHeight="1" x14ac:dyDescent="0.3">
      <c r="A19" s="114" t="str">
        <f>B4&amp;" - Average Online Donation Amount"</f>
        <v xml:space="preserve"> - Average Online Donation Amount</v>
      </c>
      <c r="B19" s="114"/>
      <c r="C19" s="114"/>
      <c r="D19" s="114"/>
      <c r="E19" s="4"/>
    </row>
    <row r="20" spans="1:5" ht="50.25" customHeight="1" x14ac:dyDescent="0.3">
      <c r="A20" s="7"/>
      <c r="B20" s="28" t="s">
        <v>5</v>
      </c>
      <c r="C20" s="28" t="s">
        <v>47</v>
      </c>
      <c r="D20" s="28" t="s">
        <v>55</v>
      </c>
      <c r="E20" s="4"/>
    </row>
    <row r="21" spans="1:5" x14ac:dyDescent="0.3">
      <c r="A21">
        <v>2012</v>
      </c>
      <c r="B21" s="42"/>
      <c r="C21" s="43"/>
      <c r="D21" s="38">
        <f>IFERROR(B21/C21,0)</f>
        <v>0</v>
      </c>
    </row>
    <row r="22" spans="1:5" x14ac:dyDescent="0.3">
      <c r="A22">
        <v>2013</v>
      </c>
      <c r="B22" s="42"/>
      <c r="C22" s="43"/>
      <c r="D22" s="38">
        <f>IFERROR(B22/C22,0)</f>
        <v>0</v>
      </c>
    </row>
    <row r="23" spans="1:5" x14ac:dyDescent="0.3">
      <c r="A23">
        <v>2014</v>
      </c>
      <c r="B23" s="42"/>
      <c r="C23" s="43"/>
      <c r="D23" s="38">
        <f>IFERROR(B23/C23,0)</f>
        <v>0</v>
      </c>
    </row>
    <row r="26" spans="1:5" ht="20.25" customHeight="1" x14ac:dyDescent="0.3">
      <c r="A26" s="114" t="str">
        <f>B4&amp;" -% of Participants Returning"</f>
        <v xml:space="preserve"> -% of Participants Returning</v>
      </c>
      <c r="B26" s="114"/>
      <c r="C26" s="114"/>
      <c r="D26" s="114"/>
    </row>
    <row r="27" spans="1:5" ht="50.25" customHeight="1" x14ac:dyDescent="0.3">
      <c r="A27" s="4"/>
      <c r="B27" s="28" t="s">
        <v>51</v>
      </c>
      <c r="C27" s="28" t="s">
        <v>11</v>
      </c>
      <c r="D27" s="28" t="s">
        <v>52</v>
      </c>
    </row>
    <row r="28" spans="1:5" x14ac:dyDescent="0.3">
      <c r="A28">
        <v>2012</v>
      </c>
      <c r="B28" s="43"/>
      <c r="C28" s="43"/>
      <c r="D28" s="39">
        <f>IFERROR((B28/C28),0)</f>
        <v>0</v>
      </c>
    </row>
    <row r="29" spans="1:5" x14ac:dyDescent="0.3">
      <c r="A29">
        <v>2013</v>
      </c>
      <c r="B29" s="43"/>
      <c r="C29" s="43"/>
      <c r="D29" s="39" t="e">
        <f t="shared" ref="D29:D30" si="1">B29/C29</f>
        <v>#DIV/0!</v>
      </c>
    </row>
    <row r="30" spans="1:5" x14ac:dyDescent="0.3">
      <c r="A30">
        <v>2014</v>
      </c>
      <c r="B30" s="43"/>
      <c r="C30" s="43"/>
      <c r="D30" s="39" t="e">
        <f t="shared" si="1"/>
        <v>#DIV/0!</v>
      </c>
    </row>
    <row r="32" spans="1:5" x14ac:dyDescent="0.3">
      <c r="B32" s="95"/>
    </row>
    <row r="33" spans="1:4" ht="21.75" customHeight="1" x14ac:dyDescent="0.3">
      <c r="A33" s="114" t="str">
        <f>B4&amp;" -% of Participants Sending Emails"</f>
        <v xml:space="preserve"> -% of Participants Sending Emails</v>
      </c>
      <c r="B33" s="114"/>
      <c r="C33" s="114"/>
      <c r="D33" s="114"/>
    </row>
    <row r="34" spans="1:4" ht="50.25" customHeight="1" x14ac:dyDescent="0.3">
      <c r="A34" s="4"/>
      <c r="B34" s="28" t="s">
        <v>53</v>
      </c>
      <c r="C34" s="28" t="s">
        <v>11</v>
      </c>
      <c r="D34" s="28" t="s">
        <v>54</v>
      </c>
    </row>
    <row r="35" spans="1:4" x14ac:dyDescent="0.3">
      <c r="A35">
        <v>2012</v>
      </c>
      <c r="B35" s="43"/>
      <c r="C35" s="43"/>
      <c r="D35" s="40" t="e">
        <f>B35/C35</f>
        <v>#DIV/0!</v>
      </c>
    </row>
    <row r="36" spans="1:4" x14ac:dyDescent="0.3">
      <c r="A36">
        <v>2013</v>
      </c>
      <c r="B36" s="43"/>
      <c r="C36" s="43"/>
      <c r="D36" s="40" t="e">
        <f t="shared" ref="D36:D37" si="2">B36/C36</f>
        <v>#DIV/0!</v>
      </c>
    </row>
    <row r="37" spans="1:4" x14ac:dyDescent="0.3">
      <c r="A37">
        <v>2014</v>
      </c>
      <c r="B37" s="43"/>
      <c r="C37" s="43"/>
      <c r="D37" s="40" t="e">
        <f t="shared" si="2"/>
        <v>#DIV/0!</v>
      </c>
    </row>
  </sheetData>
  <mergeCells count="7">
    <mergeCell ref="B3:E3"/>
    <mergeCell ref="B4:E4"/>
    <mergeCell ref="A33:D33"/>
    <mergeCell ref="A13:D13"/>
    <mergeCell ref="A6:D6"/>
    <mergeCell ref="A19:D19"/>
    <mergeCell ref="A26:D2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="76" zoomScaleNormal="76" workbookViewId="0">
      <selection activeCell="U26" sqref="U26"/>
    </sheetView>
  </sheetViews>
  <sheetFormatPr defaultRowHeight="16.5" x14ac:dyDescent="0.3"/>
  <cols>
    <col min="1" max="1" width="21.875" customWidth="1"/>
    <col min="2" max="2" width="15.75" customWidth="1"/>
    <col min="3" max="3" width="15.5" bestFit="1" customWidth="1"/>
    <col min="4" max="4" width="14.25" bestFit="1" customWidth="1"/>
    <col min="5" max="5" width="16.875" customWidth="1"/>
    <col min="6" max="6" width="3.875" customWidth="1"/>
    <col min="7" max="7" width="10.625" customWidth="1"/>
    <col min="8" max="9" width="11" customWidth="1"/>
  </cols>
  <sheetData>
    <row r="1" spans="1:9" x14ac:dyDescent="0.3">
      <c r="A1" s="6" t="s">
        <v>108</v>
      </c>
    </row>
    <row r="2" spans="1:9" ht="9.75" customHeight="1" x14ac:dyDescent="0.3"/>
    <row r="3" spans="1:9" x14ac:dyDescent="0.3">
      <c r="A3" s="63" t="s">
        <v>99</v>
      </c>
      <c r="B3" s="113">
        <f>'Client Data - Event Level'!B3:E3</f>
        <v>0</v>
      </c>
      <c r="C3" s="113"/>
      <c r="D3" s="113"/>
      <c r="E3" s="113"/>
      <c r="F3" s="69"/>
      <c r="G3" s="10"/>
    </row>
    <row r="4" spans="1:9" x14ac:dyDescent="0.3">
      <c r="A4" s="64" t="s">
        <v>98</v>
      </c>
      <c r="B4" s="113">
        <f>'Client Data - Event Level'!B4:E4</f>
        <v>0</v>
      </c>
      <c r="C4" s="113"/>
      <c r="D4" s="113"/>
      <c r="E4" s="113"/>
      <c r="F4" s="69"/>
      <c r="G4" s="10"/>
    </row>
    <row r="5" spans="1:9" x14ac:dyDescent="0.3">
      <c r="A5" s="65" t="s">
        <v>100</v>
      </c>
      <c r="B5" s="20" t="s">
        <v>94</v>
      </c>
      <c r="C5" s="10"/>
      <c r="D5" s="10"/>
      <c r="E5" s="10"/>
      <c r="F5" s="10"/>
    </row>
    <row r="7" spans="1:9" x14ac:dyDescent="0.3">
      <c r="A7" s="116" t="str">
        <f>B4&amp;" - Revenue Distribution"</f>
        <v>0 - Revenue Distribution</v>
      </c>
      <c r="B7" s="116"/>
      <c r="C7" s="116"/>
      <c r="D7" s="116"/>
      <c r="E7" s="116"/>
      <c r="F7" s="70"/>
      <c r="I7" s="11"/>
    </row>
    <row r="8" spans="1:9" ht="30" x14ac:dyDescent="0.3">
      <c r="A8" s="46"/>
      <c r="B8" s="78">
        <v>2012</v>
      </c>
      <c r="C8" s="78">
        <v>2013</v>
      </c>
      <c r="D8" s="78">
        <v>2014</v>
      </c>
      <c r="E8" s="93" t="str">
        <f>$B$5&amp;"
 Benchmark"</f>
        <v>Cycle
 Benchmark</v>
      </c>
    </row>
    <row r="9" spans="1:9" x14ac:dyDescent="0.3">
      <c r="A9" s="8" t="s">
        <v>59</v>
      </c>
      <c r="B9" s="9">
        <f>'Client Data - Event Level'!F8</f>
        <v>0</v>
      </c>
      <c r="C9" s="9">
        <f>'Client Data - Event Level'!F9</f>
        <v>0</v>
      </c>
      <c r="D9" s="9">
        <f>'Client Data - Event Level'!F10</f>
        <v>0</v>
      </c>
      <c r="E9" s="14">
        <f>IFERROR(VLOOKUP($B$5,table1,2,FALSE),"-")</f>
        <v>0.89</v>
      </c>
    </row>
    <row r="10" spans="1:9" x14ac:dyDescent="0.3">
      <c r="A10" s="8" t="s">
        <v>60</v>
      </c>
      <c r="B10" s="9">
        <f>'Client Data - Event Level'!H8</f>
        <v>0</v>
      </c>
      <c r="C10" s="9">
        <f>'Client Data - Event Level'!H9</f>
        <v>0</v>
      </c>
      <c r="D10" s="9">
        <f>'Client Data - Event Level'!H10</f>
        <v>0</v>
      </c>
      <c r="E10" s="14">
        <f>IFERROR(VLOOKUP($B$5,table1,3,FALSE),"-")</f>
        <v>0.06</v>
      </c>
    </row>
    <row r="11" spans="1:9" x14ac:dyDescent="0.3">
      <c r="A11" s="8" t="s">
        <v>61</v>
      </c>
      <c r="B11" s="9">
        <f>'Client Data - Event Level'!G8</f>
        <v>0</v>
      </c>
      <c r="C11" s="9">
        <f>'Client Data - Event Level'!G9</f>
        <v>0</v>
      </c>
      <c r="D11" s="9">
        <f>'Client Data - Event Level'!G10</f>
        <v>0</v>
      </c>
      <c r="E11" s="14">
        <f>IFERROR(VLOOKUP($B$5,table1,4,FALSE),"-")</f>
        <v>0.05</v>
      </c>
    </row>
    <row r="13" spans="1:9" x14ac:dyDescent="0.3">
      <c r="A13" s="94" t="s">
        <v>46</v>
      </c>
      <c r="B13" s="7"/>
      <c r="C13" s="7"/>
      <c r="D13" s="7"/>
      <c r="E13" s="7"/>
    </row>
    <row r="14" spans="1:9" ht="30" x14ac:dyDescent="0.3">
      <c r="A14" s="46"/>
      <c r="B14" s="78">
        <v>2012</v>
      </c>
      <c r="C14" s="78">
        <v>2013</v>
      </c>
      <c r="D14" s="78">
        <v>2014</v>
      </c>
      <c r="E14" s="93" t="str">
        <f>$B$5&amp;"
 Benchmark"</f>
        <v>Cycle
 Benchmark</v>
      </c>
    </row>
    <row r="15" spans="1:9" x14ac:dyDescent="0.3">
      <c r="A15" s="8" t="s">
        <v>27</v>
      </c>
      <c r="B15" s="9" t="e">
        <f>'Client Data - Event Level'!D15</f>
        <v>#DIV/0!</v>
      </c>
      <c r="C15" s="9" t="e">
        <f>'Client Data - Event Level'!D16</f>
        <v>#DIV/0!</v>
      </c>
      <c r="D15" s="9" t="e">
        <f>'Client Data - Event Level'!D17</f>
        <v>#DIV/0!</v>
      </c>
      <c r="E15" s="14">
        <f>IFERROR(VLOOKUP($B$5,table1,5,FALSE),"-")</f>
        <v>0.70569999999999999</v>
      </c>
    </row>
    <row r="17" spans="1:5" x14ac:dyDescent="0.3">
      <c r="A17" s="94" t="s">
        <v>57</v>
      </c>
      <c r="B17" s="7"/>
      <c r="C17" s="7"/>
      <c r="D17" s="7"/>
      <c r="E17" s="7"/>
    </row>
    <row r="18" spans="1:5" ht="30" x14ac:dyDescent="0.3">
      <c r="A18" s="46"/>
      <c r="B18" s="78">
        <v>2012</v>
      </c>
      <c r="C18" s="78">
        <v>2013</v>
      </c>
      <c r="D18" s="78">
        <v>2014</v>
      </c>
      <c r="E18" s="93" t="str">
        <f>$B$5&amp;"
 Benchmark"</f>
        <v>Cycle
 Benchmark</v>
      </c>
    </row>
    <row r="19" spans="1:5" ht="33" x14ac:dyDescent="0.3">
      <c r="A19" s="85" t="s">
        <v>63</v>
      </c>
      <c r="B19" s="96">
        <f>'Client Data - Event Level'!D21</f>
        <v>0</v>
      </c>
      <c r="C19" s="96">
        <f>'Client Data - Event Level'!D22</f>
        <v>0</v>
      </c>
      <c r="D19" s="96">
        <f>'Client Data - Event Level'!D23</f>
        <v>0</v>
      </c>
      <c r="E19" s="98">
        <f>IFERROR(VLOOKUP($B$5,table1,6,FALSE),"-")</f>
        <v>73.42</v>
      </c>
    </row>
    <row r="21" spans="1:5" x14ac:dyDescent="0.3">
      <c r="A21" s="94" t="s">
        <v>49</v>
      </c>
      <c r="B21" s="7"/>
      <c r="C21" s="7"/>
      <c r="D21" s="7"/>
      <c r="E21" s="7"/>
    </row>
    <row r="22" spans="1:5" ht="30" x14ac:dyDescent="0.3">
      <c r="A22" s="46"/>
      <c r="B22" s="78">
        <v>2012</v>
      </c>
      <c r="C22" s="78">
        <v>2013</v>
      </c>
      <c r="D22" s="78">
        <v>2014</v>
      </c>
      <c r="E22" s="93" t="str">
        <f>$B$5&amp;"
 Benchmark"</f>
        <v>Cycle
 Benchmark</v>
      </c>
    </row>
    <row r="23" spans="1:5" ht="33" x14ac:dyDescent="0.3">
      <c r="A23" s="47" t="s">
        <v>110</v>
      </c>
      <c r="B23" s="9">
        <f>'Client Data - Event Level'!D28</f>
        <v>0</v>
      </c>
      <c r="C23" s="9" t="e">
        <f>'Client Data - Event Level'!D29</f>
        <v>#DIV/0!</v>
      </c>
      <c r="D23" s="9" t="e">
        <f>'Client Data - Event Level'!D30</f>
        <v>#DIV/0!</v>
      </c>
      <c r="E23" s="14">
        <f>IFERROR(VLOOKUP($B$5,table1,7,FALSE),"-")</f>
        <v>0.51</v>
      </c>
    </row>
    <row r="25" spans="1:5" x14ac:dyDescent="0.3">
      <c r="A25" s="94" t="s">
        <v>50</v>
      </c>
      <c r="B25" s="7"/>
      <c r="C25" s="7"/>
      <c r="D25" s="7"/>
      <c r="E25" s="7"/>
    </row>
    <row r="26" spans="1:5" ht="30" x14ac:dyDescent="0.3">
      <c r="A26" s="46"/>
      <c r="B26" s="78">
        <v>2012</v>
      </c>
      <c r="C26" s="78">
        <v>2013</v>
      </c>
      <c r="D26" s="78">
        <v>2014</v>
      </c>
      <c r="E26" s="93" t="str">
        <f>$B$5&amp;"
 Benchmark"</f>
        <v>Cycle
 Benchmark</v>
      </c>
    </row>
    <row r="27" spans="1:5" ht="33" x14ac:dyDescent="0.3">
      <c r="A27" s="85" t="s">
        <v>50</v>
      </c>
      <c r="B27" s="97" t="e">
        <f>'Client Data - Event Level'!D35</f>
        <v>#DIV/0!</v>
      </c>
      <c r="C27" s="97" t="e">
        <f>'Client Data - Event Level'!D36</f>
        <v>#DIV/0!</v>
      </c>
      <c r="D27" s="97" t="e">
        <f>'Client Data - Event Level'!D37</f>
        <v>#DIV/0!</v>
      </c>
      <c r="E27" s="99">
        <f>IFERROR(VLOOKUP($B$5,table1,8,FALSE),"-")</f>
        <v>0.32790000000000002</v>
      </c>
    </row>
  </sheetData>
  <mergeCells count="3">
    <mergeCell ref="A7:E7"/>
    <mergeCell ref="B3:E3"/>
    <mergeCell ref="B4:E4"/>
  </mergeCells>
  <dataValidations count="1">
    <dataValidation type="list" allowBlank="1" showInputMessage="1" showErrorMessage="1" sqref="B5">
      <formula1>TRtypes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showGridLines="0" zoomScale="67" zoomScaleNormal="67" workbookViewId="0">
      <selection activeCell="R32" sqref="R32"/>
    </sheetView>
  </sheetViews>
  <sheetFormatPr defaultRowHeight="16.5" x14ac:dyDescent="0.3"/>
  <cols>
    <col min="1" max="1" width="27.25" customWidth="1"/>
    <col min="2" max="3" width="17.625" customWidth="1"/>
    <col min="4" max="4" width="9.625" bestFit="1" customWidth="1"/>
    <col min="5" max="5" width="5.875" customWidth="1"/>
    <col min="6" max="6" width="27.875" customWidth="1"/>
    <col min="7" max="8" width="17.625" customWidth="1"/>
    <col min="9" max="9" width="9.625" bestFit="1" customWidth="1"/>
    <col min="10" max="10" width="6.25" customWidth="1"/>
    <col min="11" max="11" width="39" bestFit="1" customWidth="1"/>
    <col min="12" max="13" width="17.625" customWidth="1"/>
    <col min="14" max="14" width="9" customWidth="1"/>
  </cols>
  <sheetData>
    <row r="1" spans="1:15" x14ac:dyDescent="0.3">
      <c r="A1" s="6" t="s">
        <v>107</v>
      </c>
    </row>
    <row r="3" spans="1:15" x14ac:dyDescent="0.3">
      <c r="A3" s="6" t="s">
        <v>75</v>
      </c>
      <c r="F3" s="6" t="s">
        <v>67</v>
      </c>
      <c r="K3" s="50" t="s">
        <v>70</v>
      </c>
    </row>
    <row r="4" spans="1:15" ht="49.5" x14ac:dyDescent="0.3">
      <c r="A4" s="24" t="s">
        <v>72</v>
      </c>
      <c r="B4" s="25" t="s">
        <v>79</v>
      </c>
      <c r="C4" s="25" t="s">
        <v>90</v>
      </c>
      <c r="F4" s="24" t="s">
        <v>58</v>
      </c>
      <c r="G4" s="25" t="s">
        <v>78</v>
      </c>
      <c r="H4" s="25" t="s">
        <v>86</v>
      </c>
      <c r="K4" s="12" t="s">
        <v>58</v>
      </c>
      <c r="L4" s="18" t="s">
        <v>78</v>
      </c>
      <c r="M4" s="18" t="s">
        <v>80</v>
      </c>
      <c r="O4" s="123"/>
    </row>
    <row r="5" spans="1:15" x14ac:dyDescent="0.3">
      <c r="B5" s="82"/>
      <c r="C5" s="43"/>
      <c r="D5" s="48">
        <f>IFERROR(B5/C5,0)</f>
        <v>0</v>
      </c>
      <c r="F5" s="10"/>
      <c r="G5" s="79"/>
      <c r="H5" s="80"/>
      <c r="I5" s="41">
        <f>IFERROR(G5/H5,0)</f>
        <v>0</v>
      </c>
      <c r="K5" s="10"/>
      <c r="L5" s="79"/>
      <c r="M5" s="80"/>
      <c r="N5" s="41">
        <f>IFERROR(L5/M5,0)</f>
        <v>0</v>
      </c>
    </row>
    <row r="6" spans="1:15" x14ac:dyDescent="0.3">
      <c r="A6" s="6" t="s">
        <v>76</v>
      </c>
      <c r="B6" s="4"/>
      <c r="C6" s="4"/>
      <c r="F6" s="10"/>
      <c r="K6" s="10"/>
    </row>
    <row r="7" spans="1:15" ht="49.5" x14ac:dyDescent="0.3">
      <c r="A7" s="26" t="s">
        <v>72</v>
      </c>
      <c r="B7" s="27" t="s">
        <v>79</v>
      </c>
      <c r="C7" s="27" t="s">
        <v>91</v>
      </c>
      <c r="F7" s="26" t="s">
        <v>72</v>
      </c>
      <c r="G7" s="27" t="s">
        <v>79</v>
      </c>
      <c r="H7" s="27" t="s">
        <v>86</v>
      </c>
      <c r="I7" s="10"/>
      <c r="K7" s="49" t="s">
        <v>72</v>
      </c>
      <c r="L7" s="17" t="s">
        <v>79</v>
      </c>
      <c r="M7" s="17" t="s">
        <v>80</v>
      </c>
      <c r="N7" s="10"/>
      <c r="O7" s="123"/>
    </row>
    <row r="8" spans="1:15" x14ac:dyDescent="0.3">
      <c r="A8" s="4"/>
      <c r="B8" s="81"/>
      <c r="C8" s="43"/>
      <c r="D8" s="48">
        <f>IFERROR(B8/C8,0)</f>
        <v>0</v>
      </c>
      <c r="F8" s="10"/>
      <c r="G8" s="21"/>
      <c r="H8" s="80"/>
      <c r="I8" s="48">
        <f>IFERROR(G8/H8,0)</f>
        <v>0</v>
      </c>
      <c r="K8" s="10"/>
      <c r="L8" s="21"/>
      <c r="M8" s="80"/>
      <c r="N8" s="48">
        <f>IFERROR(L8/M8,0)</f>
        <v>0</v>
      </c>
    </row>
    <row r="9" spans="1:15" x14ac:dyDescent="0.3">
      <c r="A9" s="6" t="s">
        <v>77</v>
      </c>
      <c r="B9" s="4"/>
      <c r="C9" s="4"/>
      <c r="F9" s="10"/>
      <c r="H9" s="5"/>
      <c r="I9" s="5"/>
      <c r="K9" s="10"/>
      <c r="M9" s="5"/>
      <c r="N9" s="5"/>
    </row>
    <row r="10" spans="1:15" ht="49.5" x14ac:dyDescent="0.3">
      <c r="A10" s="24" t="s">
        <v>72</v>
      </c>
      <c r="B10" s="25" t="s">
        <v>79</v>
      </c>
      <c r="C10" s="25" t="s">
        <v>92</v>
      </c>
      <c r="F10" s="24" t="s">
        <v>74</v>
      </c>
      <c r="G10" s="25" t="s">
        <v>81</v>
      </c>
      <c r="H10" s="25" t="s">
        <v>82</v>
      </c>
      <c r="I10" s="15"/>
      <c r="K10" s="12" t="s">
        <v>74</v>
      </c>
      <c r="L10" s="18" t="s">
        <v>81</v>
      </c>
      <c r="M10" s="22" t="s">
        <v>82</v>
      </c>
      <c r="N10" s="15"/>
    </row>
    <row r="11" spans="1:15" x14ac:dyDescent="0.3">
      <c r="B11" s="81"/>
      <c r="C11" s="43"/>
      <c r="D11" s="48">
        <f>IFERROR(B11/C11,0)</f>
        <v>0</v>
      </c>
      <c r="F11" s="10"/>
      <c r="G11" s="21"/>
      <c r="H11" s="80"/>
      <c r="I11" s="48">
        <f>IFERROR(G11/H11,0)</f>
        <v>0</v>
      </c>
      <c r="K11" s="10"/>
      <c r="L11" s="21"/>
      <c r="M11" s="80"/>
      <c r="N11" s="48">
        <f>IFERROR(L11/M11,0)</f>
        <v>0</v>
      </c>
    </row>
    <row r="12" spans="1:15" x14ac:dyDescent="0.3">
      <c r="G12" s="5"/>
      <c r="I12" s="5"/>
      <c r="L12" s="5"/>
      <c r="N12" s="5"/>
    </row>
    <row r="13" spans="1:15" ht="33" x14ac:dyDescent="0.3">
      <c r="F13" s="26" t="s">
        <v>73</v>
      </c>
      <c r="G13" s="27" t="s">
        <v>83</v>
      </c>
      <c r="H13" s="27" t="s">
        <v>86</v>
      </c>
      <c r="I13" s="15"/>
      <c r="K13" s="49" t="s">
        <v>73</v>
      </c>
      <c r="L13" s="23" t="s">
        <v>83</v>
      </c>
      <c r="M13" s="17" t="s">
        <v>80</v>
      </c>
      <c r="N13" s="15"/>
    </row>
    <row r="14" spans="1:15" x14ac:dyDescent="0.3">
      <c r="F14" s="10"/>
      <c r="G14" s="79"/>
      <c r="H14" s="80"/>
      <c r="I14" s="51">
        <f>IFERROR(G14/H14,0)</f>
        <v>0</v>
      </c>
      <c r="K14" s="10"/>
      <c r="L14" s="79"/>
      <c r="M14" s="80"/>
      <c r="N14" s="51">
        <f>IFERROR(L14/M14,0)</f>
        <v>0</v>
      </c>
    </row>
    <row r="15" spans="1:15" x14ac:dyDescent="0.3">
      <c r="F15" s="10"/>
      <c r="I15" s="13"/>
      <c r="K15" s="10"/>
      <c r="N15" s="13"/>
    </row>
    <row r="16" spans="1:15" ht="33" x14ac:dyDescent="0.3">
      <c r="F16" s="24" t="s">
        <v>54</v>
      </c>
      <c r="G16" s="25" t="s">
        <v>84</v>
      </c>
      <c r="H16" s="25" t="s">
        <v>86</v>
      </c>
      <c r="I16" s="16"/>
      <c r="K16" s="12" t="s">
        <v>54</v>
      </c>
      <c r="L16" s="18" t="s">
        <v>84</v>
      </c>
      <c r="M16" s="18" t="s">
        <v>80</v>
      </c>
      <c r="N16" s="16"/>
    </row>
    <row r="17" spans="6:14" x14ac:dyDescent="0.3">
      <c r="F17" s="10"/>
      <c r="G17" s="80"/>
      <c r="H17" s="80"/>
      <c r="I17" s="41">
        <f>IFERROR(G17/H17,0)</f>
        <v>0</v>
      </c>
      <c r="K17" s="10"/>
      <c r="L17" s="80"/>
      <c r="M17" s="80"/>
      <c r="N17" s="41">
        <f>IFERROR(L17/M17,0)</f>
        <v>0</v>
      </c>
    </row>
    <row r="19" spans="6:14" x14ac:dyDescent="0.3">
      <c r="F19" s="6" t="s">
        <v>68</v>
      </c>
      <c r="K19" s="50" t="s">
        <v>71</v>
      </c>
    </row>
    <row r="20" spans="6:14" ht="33" x14ac:dyDescent="0.3">
      <c r="F20" s="26" t="s">
        <v>58</v>
      </c>
      <c r="G20" s="27" t="s">
        <v>78</v>
      </c>
      <c r="H20" s="27" t="s">
        <v>88</v>
      </c>
      <c r="K20" s="12" t="s">
        <v>58</v>
      </c>
      <c r="L20" s="18" t="s">
        <v>78</v>
      </c>
      <c r="M20" s="18" t="s">
        <v>85</v>
      </c>
      <c r="N20" s="10"/>
    </row>
    <row r="21" spans="6:14" x14ac:dyDescent="0.3">
      <c r="F21" s="10"/>
      <c r="G21" s="79"/>
      <c r="H21" s="80"/>
      <c r="I21" s="41">
        <f>IFERROR(G21/H21,0)</f>
        <v>0</v>
      </c>
      <c r="K21" s="10"/>
      <c r="L21" s="79"/>
      <c r="M21" s="80"/>
      <c r="N21" s="41">
        <f>IFERROR(L21/M21,0)</f>
        <v>0</v>
      </c>
    </row>
    <row r="22" spans="6:14" x14ac:dyDescent="0.3">
      <c r="F22" s="10"/>
      <c r="K22" s="10"/>
    </row>
    <row r="23" spans="6:14" ht="49.5" x14ac:dyDescent="0.3">
      <c r="F23" s="24" t="s">
        <v>72</v>
      </c>
      <c r="G23" s="25" t="s">
        <v>79</v>
      </c>
      <c r="H23" s="25" t="s">
        <v>88</v>
      </c>
      <c r="I23" s="10"/>
      <c r="K23" s="49" t="s">
        <v>72</v>
      </c>
      <c r="L23" s="17" t="s">
        <v>79</v>
      </c>
      <c r="M23" s="17" t="s">
        <v>85</v>
      </c>
      <c r="N23" s="10"/>
    </row>
    <row r="24" spans="6:14" x14ac:dyDescent="0.3">
      <c r="F24" s="10"/>
      <c r="G24" s="21"/>
      <c r="H24" s="80"/>
      <c r="I24" s="48">
        <f>IFERROR(G24/H24,0)</f>
        <v>0</v>
      </c>
      <c r="K24" s="10"/>
      <c r="L24" s="21"/>
      <c r="M24" s="80"/>
      <c r="N24" s="48">
        <f>IFERROR(L24/M24,0)</f>
        <v>0</v>
      </c>
    </row>
    <row r="25" spans="6:14" x14ac:dyDescent="0.3">
      <c r="F25" s="10"/>
      <c r="H25" s="5"/>
      <c r="I25" s="5"/>
      <c r="K25" s="45"/>
      <c r="M25" s="5"/>
      <c r="N25" s="5"/>
    </row>
    <row r="26" spans="6:14" ht="33" x14ac:dyDescent="0.3">
      <c r="F26" s="26" t="s">
        <v>74</v>
      </c>
      <c r="G26" s="27" t="s">
        <v>81</v>
      </c>
      <c r="H26" s="27" t="s">
        <v>82</v>
      </c>
      <c r="I26" s="15"/>
      <c r="K26" s="12" t="s">
        <v>74</v>
      </c>
      <c r="L26" s="18" t="s">
        <v>81</v>
      </c>
      <c r="M26" s="22" t="s">
        <v>82</v>
      </c>
      <c r="N26" s="15"/>
    </row>
    <row r="27" spans="6:14" x14ac:dyDescent="0.3">
      <c r="F27" s="10"/>
      <c r="G27" s="21"/>
      <c r="H27" s="80"/>
      <c r="I27" s="48">
        <f>IFERROR(G27/H27,0)</f>
        <v>0</v>
      </c>
      <c r="K27" s="10"/>
      <c r="L27" s="21"/>
      <c r="M27" s="80"/>
      <c r="N27" s="48">
        <f>IFERROR(L27/M27,0)</f>
        <v>0</v>
      </c>
    </row>
    <row r="28" spans="6:14" x14ac:dyDescent="0.3">
      <c r="G28" s="5"/>
      <c r="I28" s="5"/>
      <c r="L28" s="5"/>
      <c r="N28" s="5"/>
    </row>
    <row r="29" spans="6:14" ht="33" x14ac:dyDescent="0.3">
      <c r="F29" s="24" t="s">
        <v>73</v>
      </c>
      <c r="G29" s="25" t="s">
        <v>83</v>
      </c>
      <c r="H29" s="25" t="s">
        <v>88</v>
      </c>
      <c r="I29" s="15"/>
      <c r="K29" s="49" t="s">
        <v>73</v>
      </c>
      <c r="L29" s="23" t="s">
        <v>83</v>
      </c>
      <c r="M29" s="17" t="s">
        <v>85</v>
      </c>
      <c r="N29" s="15"/>
    </row>
    <row r="30" spans="6:14" x14ac:dyDescent="0.3">
      <c r="F30" s="10"/>
      <c r="G30" s="79"/>
      <c r="H30" s="80"/>
      <c r="I30" s="51">
        <f>IFERROR(G30/H30,0)</f>
        <v>0</v>
      </c>
      <c r="K30" s="10"/>
      <c r="L30" s="79"/>
      <c r="M30" s="80"/>
      <c r="N30" s="51">
        <f>IFERROR(L30/M30,0)</f>
        <v>0</v>
      </c>
    </row>
    <row r="31" spans="6:14" x14ac:dyDescent="0.3">
      <c r="F31" s="10"/>
      <c r="I31" s="13"/>
      <c r="K31" s="10"/>
      <c r="N31" s="13"/>
    </row>
    <row r="32" spans="6:14" ht="33" x14ac:dyDescent="0.3">
      <c r="F32" s="26" t="s">
        <v>54</v>
      </c>
      <c r="G32" s="27" t="s">
        <v>84</v>
      </c>
      <c r="H32" s="27" t="s">
        <v>88</v>
      </c>
      <c r="I32" s="16"/>
      <c r="K32" s="12" t="s">
        <v>54</v>
      </c>
      <c r="L32" s="18" t="s">
        <v>84</v>
      </c>
      <c r="M32" s="18" t="s">
        <v>85</v>
      </c>
      <c r="N32" s="16"/>
    </row>
    <row r="33" spans="6:14" x14ac:dyDescent="0.3">
      <c r="F33" s="10"/>
      <c r="G33" s="80"/>
      <c r="H33" s="80"/>
      <c r="I33" s="41">
        <f>IFERROR(G33/H33,0)</f>
        <v>0</v>
      </c>
      <c r="K33" s="10"/>
      <c r="L33" s="80"/>
      <c r="M33" s="80"/>
      <c r="N33" s="41">
        <f>IFERROR(L33/M33,0)</f>
        <v>0</v>
      </c>
    </row>
    <row r="35" spans="6:14" x14ac:dyDescent="0.3">
      <c r="F35" s="6" t="s">
        <v>87</v>
      </c>
    </row>
    <row r="36" spans="6:14" ht="33" x14ac:dyDescent="0.3">
      <c r="F36" s="24" t="s">
        <v>58</v>
      </c>
      <c r="G36" s="25" t="s">
        <v>78</v>
      </c>
      <c r="H36" s="25" t="s">
        <v>89</v>
      </c>
    </row>
    <row r="37" spans="6:14" x14ac:dyDescent="0.3">
      <c r="F37" s="10"/>
      <c r="G37" s="79"/>
      <c r="H37" s="80"/>
      <c r="I37" s="41">
        <f>IFERROR(G37/H37,0)</f>
        <v>0</v>
      </c>
    </row>
    <row r="38" spans="6:14" x14ac:dyDescent="0.3">
      <c r="F38" s="10"/>
    </row>
    <row r="39" spans="6:14" ht="49.5" x14ac:dyDescent="0.3">
      <c r="F39" s="26" t="s">
        <v>72</v>
      </c>
      <c r="G39" s="27" t="s">
        <v>79</v>
      </c>
      <c r="H39" s="27" t="s">
        <v>89</v>
      </c>
      <c r="I39" s="10"/>
    </row>
    <row r="40" spans="6:14" x14ac:dyDescent="0.3">
      <c r="F40" s="10"/>
      <c r="G40" s="21"/>
      <c r="H40" s="80"/>
      <c r="I40" s="48">
        <f>IFERROR(G40/H40,0)</f>
        <v>0</v>
      </c>
    </row>
    <row r="41" spans="6:14" x14ac:dyDescent="0.3">
      <c r="F41" s="10"/>
      <c r="H41" s="5"/>
      <c r="I41" s="5"/>
    </row>
    <row r="42" spans="6:14" ht="33" x14ac:dyDescent="0.3">
      <c r="F42" s="24" t="s">
        <v>74</v>
      </c>
      <c r="G42" s="25" t="s">
        <v>81</v>
      </c>
      <c r="H42" s="25" t="s">
        <v>82</v>
      </c>
      <c r="I42" s="15"/>
    </row>
    <row r="43" spans="6:14" x14ac:dyDescent="0.3">
      <c r="F43" s="10"/>
      <c r="G43" s="21"/>
      <c r="H43" s="80"/>
      <c r="I43" s="48">
        <f>IFERROR(G43/H43,0)</f>
        <v>0</v>
      </c>
    </row>
    <row r="44" spans="6:14" x14ac:dyDescent="0.3">
      <c r="G44" s="5"/>
      <c r="I44" s="5"/>
    </row>
    <row r="45" spans="6:14" ht="33" x14ac:dyDescent="0.3">
      <c r="F45" s="26" t="s">
        <v>73</v>
      </c>
      <c r="G45" s="27" t="s">
        <v>83</v>
      </c>
      <c r="H45" s="27" t="s">
        <v>89</v>
      </c>
      <c r="I45" s="15"/>
    </row>
    <row r="46" spans="6:14" x14ac:dyDescent="0.3">
      <c r="F46" s="10"/>
      <c r="G46" s="19"/>
      <c r="H46" s="80"/>
      <c r="I46" s="51">
        <f>IFERROR(G46/H46,0)</f>
        <v>0</v>
      </c>
    </row>
    <row r="47" spans="6:14" x14ac:dyDescent="0.3">
      <c r="F47" s="10"/>
      <c r="I47" s="13"/>
    </row>
    <row r="48" spans="6:14" ht="33" x14ac:dyDescent="0.3">
      <c r="F48" s="24" t="s">
        <v>54</v>
      </c>
      <c r="G48" s="25" t="s">
        <v>84</v>
      </c>
      <c r="H48" s="25" t="s">
        <v>89</v>
      </c>
      <c r="I48" s="16"/>
    </row>
    <row r="49" spans="6:9" x14ac:dyDescent="0.3">
      <c r="F49" s="10"/>
      <c r="G49" s="20"/>
      <c r="H49" s="80"/>
      <c r="I49" s="41">
        <f>IFERROR(G49/H49,0)</f>
        <v>0</v>
      </c>
    </row>
    <row r="73" spans="7:7" x14ac:dyDescent="0.3">
      <c r="G73" s="4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showGridLines="0" zoomScale="68" zoomScaleNormal="68" workbookViewId="0">
      <selection activeCell="U7" sqref="U7"/>
    </sheetView>
  </sheetViews>
  <sheetFormatPr defaultRowHeight="16.5" x14ac:dyDescent="0.3"/>
  <cols>
    <col min="1" max="1" width="37.5" bestFit="1" customWidth="1"/>
    <col min="2" max="2" width="24.75" bestFit="1" customWidth="1"/>
    <col min="3" max="4" width="20.75" customWidth="1"/>
    <col min="5" max="5" width="2.875" customWidth="1"/>
  </cols>
  <sheetData>
    <row r="1" spans="1:18" x14ac:dyDescent="0.3">
      <c r="A1" s="6" t="s">
        <v>109</v>
      </c>
    </row>
    <row r="2" spans="1:18" ht="9.75" customHeight="1" x14ac:dyDescent="0.3"/>
    <row r="3" spans="1:18" x14ac:dyDescent="0.3">
      <c r="A3" s="63" t="s">
        <v>99</v>
      </c>
      <c r="B3" s="117">
        <f>'Client Data - Event Level'!B3:E3</f>
        <v>0</v>
      </c>
      <c r="C3" s="118"/>
      <c r="D3" s="119"/>
    </row>
    <row r="4" spans="1:18" x14ac:dyDescent="0.3">
      <c r="A4" s="64" t="s">
        <v>98</v>
      </c>
      <c r="B4" s="117">
        <f>'Client Data - Event Level'!B4:E4</f>
        <v>0</v>
      </c>
      <c r="C4" s="118"/>
      <c r="D4" s="119"/>
    </row>
    <row r="5" spans="1:18" x14ac:dyDescent="0.3">
      <c r="A5" s="65" t="s">
        <v>100</v>
      </c>
      <c r="B5" s="56" t="s">
        <v>94</v>
      </c>
    </row>
    <row r="7" spans="1:18" ht="34.5" customHeight="1" x14ac:dyDescent="0.3">
      <c r="A7" s="57"/>
      <c r="B7" s="58"/>
      <c r="C7" s="84">
        <f>B4</f>
        <v>0</v>
      </c>
      <c r="D7" s="59" t="str">
        <f>$B$5
&amp;" Benchmark"</f>
        <v>Cycle Benchmark</v>
      </c>
    </row>
    <row r="8" spans="1:18" x14ac:dyDescent="0.3">
      <c r="A8" s="77" t="s">
        <v>72</v>
      </c>
      <c r="B8" s="62" t="s">
        <v>64</v>
      </c>
      <c r="C8" s="53">
        <f>'Client Data - Participant Level'!D5</f>
        <v>0</v>
      </c>
      <c r="D8" s="55">
        <f>IFERROR(VLOOKUP($B$5,Donors,2,FALSE),"-")</f>
        <v>629.62</v>
      </c>
    </row>
    <row r="9" spans="1:18" x14ac:dyDescent="0.3">
      <c r="B9" s="62" t="s">
        <v>65</v>
      </c>
      <c r="C9" s="53">
        <f>'Client Data - Participant Level'!D8</f>
        <v>0</v>
      </c>
      <c r="D9" s="55">
        <f>IFERROR(VLOOKUP($B$5,Donors,3,FALSE),"-")</f>
        <v>157.24</v>
      </c>
    </row>
    <row r="10" spans="1:18" x14ac:dyDescent="0.3">
      <c r="B10" s="62" t="s">
        <v>66</v>
      </c>
      <c r="C10" s="53">
        <f>'Client Data - Participant Level'!D11</f>
        <v>0</v>
      </c>
      <c r="D10" s="55">
        <f>IFERROR(VLOOKUP($B$5,Donors,4,FALSE),"-")</f>
        <v>249.14</v>
      </c>
    </row>
    <row r="11" spans="1:18" ht="36.75" customHeight="1" x14ac:dyDescent="0.3">
      <c r="A11" s="57"/>
      <c r="B11" s="58"/>
      <c r="C11" s="60">
        <f>B4</f>
        <v>0</v>
      </c>
      <c r="D11" s="60" t="str">
        <f>$B$5
&amp;" Benchmark"</f>
        <v>Cycle Benchmark</v>
      </c>
      <c r="F11" s="6"/>
      <c r="L11" s="6"/>
      <c r="R11" s="6"/>
    </row>
    <row r="12" spans="1:18" x14ac:dyDescent="0.3">
      <c r="A12" s="63" t="s">
        <v>58</v>
      </c>
      <c r="B12" s="71" t="s">
        <v>67</v>
      </c>
      <c r="C12" s="104">
        <f>'Client Data - Participant Level'!I5</f>
        <v>0</v>
      </c>
      <c r="D12" s="100">
        <f>IFERROR(VLOOKUP($B$5,TC,2,FALSE),"-")</f>
        <v>0.7772</v>
      </c>
    </row>
    <row r="13" spans="1:18" x14ac:dyDescent="0.3">
      <c r="A13" s="52"/>
      <c r="B13" s="72" t="s">
        <v>68</v>
      </c>
      <c r="C13" s="105">
        <f>'Client Data - Participant Level'!I21</f>
        <v>0</v>
      </c>
      <c r="D13" s="100">
        <f>IFERROR(VLOOKUP($B$5,TM,2,FALSE),"-")</f>
        <v>0.77149999999999996</v>
      </c>
    </row>
    <row r="14" spans="1:18" x14ac:dyDescent="0.3">
      <c r="A14" s="52"/>
      <c r="B14" s="72" t="s">
        <v>69</v>
      </c>
      <c r="C14" s="105">
        <f>'Client Data - Participant Level'!I37</f>
        <v>0</v>
      </c>
      <c r="D14" s="100">
        <f>IFERROR(VLOOKUP($B$5,IND,2,FALSE),"-")</f>
        <v>0.47349999999999998</v>
      </c>
    </row>
    <row r="15" spans="1:18" x14ac:dyDescent="0.3">
      <c r="A15" s="52"/>
      <c r="B15" s="72" t="s">
        <v>70</v>
      </c>
      <c r="C15" s="105">
        <f>'Client Data - Participant Level'!N5</f>
        <v>0</v>
      </c>
      <c r="D15" s="100">
        <f>IFERROR(VLOOKUP($B$5,RIND,2,FALSE),"-")</f>
        <v>0.6754</v>
      </c>
    </row>
    <row r="16" spans="1:18" x14ac:dyDescent="0.3">
      <c r="A16" s="54"/>
      <c r="B16" s="73" t="s">
        <v>71</v>
      </c>
      <c r="C16" s="68">
        <f>'Client Data - Participant Level'!N21</f>
        <v>0</v>
      </c>
      <c r="D16" s="101">
        <f>IFERROR(VLOOKUP($B$5,NP,2,FALSE),"-")</f>
        <v>0.6754</v>
      </c>
    </row>
    <row r="17" spans="1:4" x14ac:dyDescent="0.3">
      <c r="A17" s="63" t="s">
        <v>72</v>
      </c>
      <c r="B17" s="74" t="s">
        <v>67</v>
      </c>
      <c r="C17" s="66">
        <f>'Client Data - Participant Level'!I8</f>
        <v>0</v>
      </c>
      <c r="D17" s="102">
        <f>IFERROR(VLOOKUP($B$5,TC,3,FALSE),"-")</f>
        <v>691.61</v>
      </c>
    </row>
    <row r="18" spans="1:4" x14ac:dyDescent="0.3">
      <c r="A18" s="52"/>
      <c r="B18" s="74" t="s">
        <v>68</v>
      </c>
      <c r="C18" s="53">
        <f>'Client Data - Participant Level'!I24</f>
        <v>0</v>
      </c>
      <c r="D18" s="55">
        <f>IFERROR(VLOOKUP($B$5,TM,3,FALSE),"-")</f>
        <v>410.08</v>
      </c>
    </row>
    <row r="19" spans="1:4" x14ac:dyDescent="0.3">
      <c r="A19" s="52"/>
      <c r="B19" s="74" t="s">
        <v>69</v>
      </c>
      <c r="C19" s="53">
        <f>'Client Data - Participant Level'!I40</f>
        <v>0</v>
      </c>
      <c r="D19" s="55">
        <f>IFERROR(VLOOKUP($B$5,IND,3,FALSE),"-")</f>
        <v>199.79</v>
      </c>
    </row>
    <row r="20" spans="1:4" x14ac:dyDescent="0.3">
      <c r="A20" s="52"/>
      <c r="B20" s="74" t="s">
        <v>70</v>
      </c>
      <c r="C20" s="53">
        <f>'Client Data - Participant Level'!N8</f>
        <v>0</v>
      </c>
      <c r="D20" s="55">
        <f>IFERROR(VLOOKUP($B$5,RIND,3,FALSE),"-")</f>
        <v>669.29</v>
      </c>
    </row>
    <row r="21" spans="1:4" x14ac:dyDescent="0.3">
      <c r="A21" s="54"/>
      <c r="B21" s="75" t="s">
        <v>71</v>
      </c>
      <c r="C21" s="67">
        <f>'Client Data - Participant Level'!N24</f>
        <v>0</v>
      </c>
      <c r="D21" s="103">
        <f>IFERROR(VLOOKUP($B$5,NP,3,FALSE),"-")</f>
        <v>378.66</v>
      </c>
    </row>
    <row r="22" spans="1:4" x14ac:dyDescent="0.3">
      <c r="A22" s="63" t="s">
        <v>74</v>
      </c>
      <c r="B22" s="76" t="s">
        <v>67</v>
      </c>
      <c r="C22" s="66">
        <f>'Client Data - Participant Level'!I11</f>
        <v>0</v>
      </c>
      <c r="D22" s="102">
        <f>IFERROR(VLOOKUP($B$5,TC,4,FALSE),"-")</f>
        <v>85.23</v>
      </c>
    </row>
    <row r="23" spans="1:4" x14ac:dyDescent="0.3">
      <c r="A23" s="52"/>
      <c r="B23" s="74" t="s">
        <v>68</v>
      </c>
      <c r="C23" s="53">
        <f>'Client Data - Participant Level'!I27</f>
        <v>0</v>
      </c>
      <c r="D23" s="55">
        <f>IFERROR(VLOOKUP($B$5,TM,4,FALSE),"-")</f>
        <v>72.56</v>
      </c>
    </row>
    <row r="24" spans="1:4" x14ac:dyDescent="0.3">
      <c r="A24" s="52"/>
      <c r="B24" s="74" t="s">
        <v>69</v>
      </c>
      <c r="C24" s="53">
        <f>'Client Data - Participant Level'!I43</f>
        <v>0</v>
      </c>
      <c r="D24" s="55">
        <f>IFERROR(VLOOKUP($B$5,IND,4,FALSE),"-")</f>
        <v>65.77</v>
      </c>
    </row>
    <row r="25" spans="1:4" x14ac:dyDescent="0.3">
      <c r="A25" s="52"/>
      <c r="B25" s="74" t="s">
        <v>70</v>
      </c>
      <c r="C25" s="53">
        <f>'Client Data - Participant Level'!N11</f>
        <v>0</v>
      </c>
      <c r="D25" s="55">
        <f>IFERROR(VLOOKUP($B$5,RIND,4,FALSE),"-")</f>
        <v>79</v>
      </c>
    </row>
    <row r="26" spans="1:4" x14ac:dyDescent="0.3">
      <c r="A26" s="54"/>
      <c r="B26" s="75" t="s">
        <v>71</v>
      </c>
      <c r="C26" s="67">
        <f>'Client Data - Participant Level'!N27</f>
        <v>0</v>
      </c>
      <c r="D26" s="103">
        <f>IFERROR(VLOOKUP($B$5,NP,4,FALSE),"-")</f>
        <v>65.260000000000005</v>
      </c>
    </row>
    <row r="27" spans="1:4" x14ac:dyDescent="0.3">
      <c r="A27" s="63" t="s">
        <v>73</v>
      </c>
      <c r="B27" s="76" t="s">
        <v>67</v>
      </c>
      <c r="C27" s="110">
        <f>'Client Data - Participant Level'!I14</f>
        <v>0</v>
      </c>
      <c r="D27" s="107">
        <f>IFERROR(VLOOKUP($B$5,TC,5,FALSE),"-")</f>
        <v>8.11</v>
      </c>
    </row>
    <row r="28" spans="1:4" x14ac:dyDescent="0.3">
      <c r="A28" s="52"/>
      <c r="B28" s="74" t="s">
        <v>68</v>
      </c>
      <c r="C28" s="111">
        <f>'Client Data - Participant Level'!I30</f>
        <v>0</v>
      </c>
      <c r="D28" s="108">
        <f>IFERROR(VLOOKUP($B$5,TM,5,FALSE),"-")</f>
        <v>5.65</v>
      </c>
    </row>
    <row r="29" spans="1:4" x14ac:dyDescent="0.3">
      <c r="A29" s="52"/>
      <c r="B29" s="74" t="s">
        <v>69</v>
      </c>
      <c r="C29" s="111">
        <f>'Client Data - Participant Level'!I46</f>
        <v>0</v>
      </c>
      <c r="D29" s="108">
        <f>IFERROR(VLOOKUP($B$5,IND,5,FALSE),"-")</f>
        <v>3.04</v>
      </c>
    </row>
    <row r="30" spans="1:4" x14ac:dyDescent="0.3">
      <c r="A30" s="52"/>
      <c r="B30" s="74" t="s">
        <v>70</v>
      </c>
      <c r="C30" s="111">
        <f>'Client Data - Participant Level'!N14</f>
        <v>0</v>
      </c>
      <c r="D30" s="108">
        <f>IFERROR(VLOOKUP($B$5,RIND,5,FALSE),"-")</f>
        <v>5.98</v>
      </c>
    </row>
    <row r="31" spans="1:4" x14ac:dyDescent="0.3">
      <c r="A31" s="54"/>
      <c r="B31" s="75" t="s">
        <v>71</v>
      </c>
      <c r="C31" s="112">
        <f>'Client Data - Participant Level'!N30</f>
        <v>0</v>
      </c>
      <c r="D31" s="109">
        <f>IFERROR(VLOOKUP($B$5,NP,5,FALSE),"-")</f>
        <v>4.51</v>
      </c>
    </row>
    <row r="32" spans="1:4" x14ac:dyDescent="0.3">
      <c r="A32" s="63" t="s">
        <v>54</v>
      </c>
      <c r="B32" s="76" t="s">
        <v>67</v>
      </c>
      <c r="C32" s="104">
        <f>'Client Data - Participant Level'!I17</f>
        <v>0</v>
      </c>
      <c r="D32" s="100">
        <f>IFERROR(VLOOKUP($B$5,TC,6,FALSE),"-")</f>
        <v>0.50470000000000004</v>
      </c>
    </row>
    <row r="33" spans="1:4" x14ac:dyDescent="0.3">
      <c r="A33" s="52"/>
      <c r="B33" s="74" t="s">
        <v>68</v>
      </c>
      <c r="C33" s="105">
        <f>'Client Data - Participant Level'!I33</f>
        <v>0</v>
      </c>
      <c r="D33" s="100">
        <f>IFERROR(VLOOKUP($B$5,TM,6,FALSE),"-")</f>
        <v>0.34110000000000001</v>
      </c>
    </row>
    <row r="34" spans="1:4" x14ac:dyDescent="0.3">
      <c r="A34" s="52"/>
      <c r="B34" s="74" t="s">
        <v>69</v>
      </c>
      <c r="C34" s="105">
        <f>'Client Data - Participant Level'!I49</f>
        <v>0</v>
      </c>
      <c r="D34" s="100">
        <f>IFERROR(VLOOKUP($B$5,IND,6,FALSE),"-")</f>
        <v>0.21640000000000001</v>
      </c>
    </row>
    <row r="35" spans="1:4" x14ac:dyDescent="0.3">
      <c r="A35" s="52"/>
      <c r="B35" s="74" t="s">
        <v>70</v>
      </c>
      <c r="C35" s="105">
        <f>'Client Data - Participant Level'!N17</f>
        <v>0</v>
      </c>
      <c r="D35" s="100">
        <f>IFERROR(VLOOKUP($B$5,RIND,6,FALSE),"-")</f>
        <v>0.36620000000000003</v>
      </c>
    </row>
    <row r="36" spans="1:4" x14ac:dyDescent="0.3">
      <c r="A36" s="54"/>
      <c r="B36" s="75" t="s">
        <v>71</v>
      </c>
      <c r="C36" s="68">
        <f>'Client Data - Participant Level'!N33</f>
        <v>0</v>
      </c>
      <c r="D36" s="101">
        <f>IFERROR(VLOOKUP($B$5,NP,6,FALSE),"-")</f>
        <v>0.28160000000000002</v>
      </c>
    </row>
    <row r="37" spans="1:4" ht="36.75" customHeight="1" x14ac:dyDescent="0.3"/>
    <row r="38" spans="1:4" ht="36.75" customHeight="1" x14ac:dyDescent="0.3"/>
    <row r="39" spans="1:4" ht="36.75" customHeight="1" x14ac:dyDescent="0.3"/>
    <row r="40" spans="1:4" ht="36.75" customHeight="1" x14ac:dyDescent="0.3"/>
    <row r="41" spans="1:4" ht="36.75" customHeight="1" x14ac:dyDescent="0.3"/>
    <row r="42" spans="1:4" ht="36.75" customHeight="1" x14ac:dyDescent="0.3"/>
    <row r="43" spans="1:4" ht="36.75" customHeight="1" x14ac:dyDescent="0.3"/>
    <row r="60" ht="36" customHeight="1" x14ac:dyDescent="0.3"/>
    <row r="77" spans="6:12" x14ac:dyDescent="0.3">
      <c r="F77" s="6"/>
      <c r="L77" s="6"/>
    </row>
  </sheetData>
  <mergeCells count="2">
    <mergeCell ref="B3:D3"/>
    <mergeCell ref="B4:D4"/>
  </mergeCells>
  <dataValidations count="1">
    <dataValidation type="list" allowBlank="1" showInputMessage="1" showErrorMessage="1" sqref="B5">
      <formula1>TRtypes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showGridLines="0" zoomScale="87" zoomScaleNormal="87" workbookViewId="0">
      <selection activeCell="A2" sqref="A2"/>
    </sheetView>
  </sheetViews>
  <sheetFormatPr defaultRowHeight="16.5" x14ac:dyDescent="0.3"/>
  <cols>
    <col min="1" max="1" width="17.625" customWidth="1"/>
    <col min="2" max="4" width="22.75" customWidth="1"/>
    <col min="5" max="7" width="14.75" customWidth="1"/>
    <col min="8" max="10" width="16.625" customWidth="1"/>
  </cols>
  <sheetData>
    <row r="1" spans="1:8" x14ac:dyDescent="0.3">
      <c r="A1" s="6" t="s">
        <v>104</v>
      </c>
    </row>
    <row r="2" spans="1:8" x14ac:dyDescent="0.3">
      <c r="A2" s="6" t="s">
        <v>103</v>
      </c>
    </row>
    <row r="4" spans="1:8" x14ac:dyDescent="0.3">
      <c r="A4" s="61"/>
      <c r="B4" s="50" t="s">
        <v>64</v>
      </c>
      <c r="C4" s="50" t="s">
        <v>65</v>
      </c>
      <c r="D4" s="50" t="s">
        <v>66</v>
      </c>
      <c r="E4" s="61"/>
      <c r="F4" s="61"/>
      <c r="G4" s="61"/>
      <c r="H4" s="61"/>
    </row>
    <row r="5" spans="1:8" ht="33" x14ac:dyDescent="0.3">
      <c r="A5" s="61"/>
      <c r="B5" s="83" t="s">
        <v>72</v>
      </c>
      <c r="C5" s="83" t="s">
        <v>72</v>
      </c>
      <c r="D5" s="83" t="s">
        <v>72</v>
      </c>
      <c r="E5" s="61"/>
      <c r="F5" s="61"/>
      <c r="G5" s="61"/>
      <c r="H5" s="61"/>
    </row>
    <row r="6" spans="1:8" x14ac:dyDescent="0.3">
      <c r="A6" s="61" t="s">
        <v>94</v>
      </c>
      <c r="B6" s="86">
        <v>629.62</v>
      </c>
      <c r="C6" s="86">
        <v>157.24</v>
      </c>
      <c r="D6" s="86">
        <v>249.14</v>
      </c>
      <c r="E6" s="61"/>
      <c r="F6" s="61"/>
      <c r="G6" s="61"/>
      <c r="H6" s="61"/>
    </row>
    <row r="7" spans="1:8" x14ac:dyDescent="0.3">
      <c r="A7" s="61" t="s">
        <v>97</v>
      </c>
      <c r="B7" s="86">
        <v>1270.3900000000001</v>
      </c>
      <c r="C7" s="86">
        <v>281.63</v>
      </c>
      <c r="D7" s="86">
        <v>498.67</v>
      </c>
      <c r="E7" s="61"/>
      <c r="F7" s="61"/>
      <c r="G7" s="61"/>
      <c r="H7" s="61"/>
    </row>
    <row r="8" spans="1:8" x14ac:dyDescent="0.3">
      <c r="A8" s="61" t="s">
        <v>95</v>
      </c>
      <c r="B8" s="86">
        <v>306.12</v>
      </c>
      <c r="C8" s="86">
        <v>50.65</v>
      </c>
      <c r="D8" s="86">
        <v>6.91</v>
      </c>
      <c r="E8" s="61"/>
      <c r="F8" s="61"/>
      <c r="G8" s="61"/>
      <c r="H8" s="61"/>
    </row>
    <row r="9" spans="1:8" x14ac:dyDescent="0.3">
      <c r="A9" s="61" t="s">
        <v>96</v>
      </c>
      <c r="B9" s="86">
        <v>361.29</v>
      </c>
      <c r="C9" s="86">
        <v>60.15</v>
      </c>
      <c r="D9" s="86">
        <v>31.37</v>
      </c>
      <c r="E9" s="61"/>
      <c r="F9" s="61"/>
      <c r="G9" s="61"/>
      <c r="H9" s="61"/>
    </row>
    <row r="10" spans="1:8" x14ac:dyDescent="0.3">
      <c r="A10" s="61"/>
      <c r="B10" s="61"/>
      <c r="C10" s="61"/>
      <c r="D10" s="61"/>
      <c r="E10" s="61"/>
      <c r="F10" s="61"/>
      <c r="G10" s="61"/>
      <c r="H10" s="61"/>
    </row>
    <row r="11" spans="1:8" ht="66" x14ac:dyDescent="0.3">
      <c r="A11" s="50" t="s">
        <v>67</v>
      </c>
      <c r="B11" s="83" t="s">
        <v>58</v>
      </c>
      <c r="C11" s="83" t="s">
        <v>72</v>
      </c>
      <c r="D11" s="83" t="s">
        <v>74</v>
      </c>
      <c r="E11" s="83" t="s">
        <v>73</v>
      </c>
      <c r="F11" s="83" t="s">
        <v>54</v>
      </c>
      <c r="G11" s="61"/>
      <c r="H11" s="61"/>
    </row>
    <row r="12" spans="1:8" x14ac:dyDescent="0.3">
      <c r="A12" s="61" t="s">
        <v>94</v>
      </c>
      <c r="B12" s="87">
        <v>0.7772</v>
      </c>
      <c r="C12" s="86">
        <v>691.61</v>
      </c>
      <c r="D12" s="86">
        <v>85.23</v>
      </c>
      <c r="E12" s="88">
        <v>8.11</v>
      </c>
      <c r="F12" s="87">
        <v>0.50470000000000004</v>
      </c>
      <c r="G12" s="61"/>
      <c r="H12" s="61"/>
    </row>
    <row r="13" spans="1:8" x14ac:dyDescent="0.3">
      <c r="A13" s="61" t="s">
        <v>97</v>
      </c>
      <c r="B13" s="87">
        <v>0.89990000000000003</v>
      </c>
      <c r="C13" s="86">
        <v>1567.18</v>
      </c>
      <c r="D13" s="86">
        <v>83.07</v>
      </c>
      <c r="E13" s="88">
        <v>18.86</v>
      </c>
      <c r="F13" s="87">
        <v>0.68700000000000006</v>
      </c>
      <c r="G13" s="61"/>
      <c r="H13" s="61"/>
    </row>
    <row r="14" spans="1:8" x14ac:dyDescent="0.3">
      <c r="A14" s="61" t="s">
        <v>95</v>
      </c>
      <c r="B14" s="87">
        <v>0.36659999999999998</v>
      </c>
      <c r="C14" s="86">
        <v>99.78</v>
      </c>
      <c r="D14" s="86">
        <v>66.63</v>
      </c>
      <c r="E14" s="88">
        <v>1.5</v>
      </c>
      <c r="F14" s="87">
        <v>0.32300000000000001</v>
      </c>
      <c r="G14" s="61"/>
      <c r="H14" s="61"/>
    </row>
    <row r="15" spans="1:8" x14ac:dyDescent="0.3">
      <c r="A15" s="61" t="s">
        <v>96</v>
      </c>
      <c r="B15" s="87">
        <v>0.50470000000000004</v>
      </c>
      <c r="C15" s="86">
        <v>201.11</v>
      </c>
      <c r="D15" s="86">
        <v>71.67</v>
      </c>
      <c r="E15" s="88">
        <v>2.87</v>
      </c>
      <c r="F15" s="87">
        <v>0.32729999999999998</v>
      </c>
      <c r="G15" s="61"/>
      <c r="H15" s="61"/>
    </row>
    <row r="16" spans="1:8" x14ac:dyDescent="0.3">
      <c r="A16" s="61"/>
      <c r="B16" s="61"/>
      <c r="C16" s="61"/>
      <c r="D16" s="61"/>
      <c r="E16" s="61"/>
      <c r="F16" s="61"/>
      <c r="G16" s="61"/>
      <c r="H16" s="61"/>
    </row>
    <row r="17" spans="1:8" ht="66" x14ac:dyDescent="0.3">
      <c r="A17" s="50" t="s">
        <v>68</v>
      </c>
      <c r="B17" s="83" t="s">
        <v>58</v>
      </c>
      <c r="C17" s="83" t="s">
        <v>72</v>
      </c>
      <c r="D17" s="83" t="s">
        <v>74</v>
      </c>
      <c r="E17" s="83" t="s">
        <v>73</v>
      </c>
      <c r="F17" s="83" t="s">
        <v>54</v>
      </c>
      <c r="G17" s="61"/>
      <c r="H17" s="61"/>
    </row>
    <row r="18" spans="1:8" x14ac:dyDescent="0.3">
      <c r="A18" s="61" t="s">
        <v>94</v>
      </c>
      <c r="B18" s="87">
        <v>0.77149999999999996</v>
      </c>
      <c r="C18" s="86">
        <v>410.08</v>
      </c>
      <c r="D18" s="86">
        <v>72.56</v>
      </c>
      <c r="E18" s="88">
        <v>5.65</v>
      </c>
      <c r="F18" s="87">
        <v>0.34110000000000001</v>
      </c>
      <c r="G18" s="61"/>
      <c r="H18" s="61"/>
    </row>
    <row r="19" spans="1:8" x14ac:dyDescent="0.3">
      <c r="A19" s="61" t="s">
        <v>97</v>
      </c>
      <c r="B19" s="87">
        <v>0.78620000000000001</v>
      </c>
      <c r="C19" s="86">
        <v>1123.71</v>
      </c>
      <c r="D19" s="86">
        <v>82.08</v>
      </c>
      <c r="E19" s="88">
        <v>13.69</v>
      </c>
      <c r="F19" s="87">
        <v>0.52380000000000004</v>
      </c>
      <c r="G19" s="61"/>
      <c r="H19" s="61"/>
    </row>
    <row r="20" spans="1:8" x14ac:dyDescent="0.3">
      <c r="A20" s="61" t="s">
        <v>95</v>
      </c>
      <c r="B20" s="87">
        <v>0.1206</v>
      </c>
      <c r="C20" s="86">
        <v>14.39</v>
      </c>
      <c r="D20" s="86">
        <v>51.85</v>
      </c>
      <c r="E20" s="88">
        <v>0.28000000000000003</v>
      </c>
      <c r="F20" s="87">
        <v>3.1600000000000003E-2</v>
      </c>
      <c r="G20" s="61"/>
      <c r="H20" s="61"/>
    </row>
    <row r="21" spans="1:8" x14ac:dyDescent="0.3">
      <c r="A21" s="61" t="s">
        <v>96</v>
      </c>
      <c r="B21" s="87">
        <v>0.29039999999999999</v>
      </c>
      <c r="C21" s="86">
        <v>39.42</v>
      </c>
      <c r="D21" s="86">
        <v>57.18</v>
      </c>
      <c r="E21" s="88">
        <v>0.69</v>
      </c>
      <c r="F21" s="87">
        <v>6.13E-2</v>
      </c>
      <c r="G21" s="61"/>
      <c r="H21" s="61"/>
    </row>
    <row r="22" spans="1:8" x14ac:dyDescent="0.3">
      <c r="A22" s="61"/>
      <c r="B22" s="61"/>
      <c r="C22" s="61"/>
      <c r="D22" s="61"/>
      <c r="E22" s="61"/>
      <c r="F22" s="61"/>
      <c r="G22" s="61"/>
      <c r="H22" s="61"/>
    </row>
    <row r="23" spans="1:8" ht="66" x14ac:dyDescent="0.3">
      <c r="A23" s="50" t="s">
        <v>69</v>
      </c>
      <c r="B23" s="83" t="s">
        <v>58</v>
      </c>
      <c r="C23" s="83" t="s">
        <v>72</v>
      </c>
      <c r="D23" s="83" t="s">
        <v>74</v>
      </c>
      <c r="E23" s="83" t="s">
        <v>73</v>
      </c>
      <c r="F23" s="83" t="s">
        <v>54</v>
      </c>
      <c r="G23" s="61"/>
      <c r="H23" s="61"/>
    </row>
    <row r="24" spans="1:8" x14ac:dyDescent="0.3">
      <c r="A24" s="61" t="s">
        <v>94</v>
      </c>
      <c r="B24" s="87">
        <v>0.47349999999999998</v>
      </c>
      <c r="C24" s="86">
        <v>199.79</v>
      </c>
      <c r="D24" s="86">
        <v>65.77</v>
      </c>
      <c r="E24" s="88">
        <v>3.04</v>
      </c>
      <c r="F24" s="87">
        <v>0.21640000000000001</v>
      </c>
      <c r="G24" s="61"/>
      <c r="H24" s="61"/>
    </row>
    <row r="25" spans="1:8" x14ac:dyDescent="0.3">
      <c r="A25" s="61" t="s">
        <v>97</v>
      </c>
      <c r="B25" s="87">
        <v>0.44429999999999997</v>
      </c>
      <c r="C25" s="86">
        <v>614.33000000000004</v>
      </c>
      <c r="D25" s="86">
        <v>77.7</v>
      </c>
      <c r="E25" s="88">
        <v>7.91</v>
      </c>
      <c r="F25" s="87">
        <v>0.30819999999999997</v>
      </c>
      <c r="G25" s="61"/>
      <c r="H25" s="61"/>
    </row>
    <row r="26" spans="1:8" x14ac:dyDescent="0.3">
      <c r="A26" s="61" t="s">
        <v>95</v>
      </c>
      <c r="B26" s="87">
        <v>6.5299999999999997E-2</v>
      </c>
      <c r="C26" s="86">
        <v>7.84</v>
      </c>
      <c r="D26" s="86">
        <v>49.51</v>
      </c>
      <c r="E26" s="88">
        <v>0.16</v>
      </c>
      <c r="F26" s="87">
        <v>1.77E-2</v>
      </c>
      <c r="G26" s="61"/>
      <c r="H26" s="61"/>
    </row>
    <row r="27" spans="1:8" x14ac:dyDescent="0.3">
      <c r="A27" s="61" t="s">
        <v>96</v>
      </c>
      <c r="B27" s="87">
        <v>0.18459999999999999</v>
      </c>
      <c r="C27" s="86">
        <v>36.840000000000003</v>
      </c>
      <c r="D27" s="86">
        <v>55.43</v>
      </c>
      <c r="E27" s="88">
        <v>0.66</v>
      </c>
      <c r="F27" s="87">
        <v>6.0499999999999998E-2</v>
      </c>
      <c r="G27" s="61"/>
      <c r="H27" s="61"/>
    </row>
    <row r="28" spans="1:8" x14ac:dyDescent="0.3">
      <c r="A28" s="61"/>
      <c r="B28" s="61"/>
      <c r="C28" s="61"/>
      <c r="D28" s="61"/>
      <c r="E28" s="61"/>
      <c r="F28" s="61"/>
      <c r="G28" s="61"/>
      <c r="H28" s="61"/>
    </row>
    <row r="29" spans="1:8" ht="66" x14ac:dyDescent="0.3">
      <c r="A29" s="50" t="s">
        <v>70</v>
      </c>
      <c r="B29" s="83" t="s">
        <v>58</v>
      </c>
      <c r="C29" s="83" t="s">
        <v>72</v>
      </c>
      <c r="D29" s="83" t="s">
        <v>74</v>
      </c>
      <c r="E29" s="83" t="s">
        <v>73</v>
      </c>
      <c r="F29" s="83" t="s">
        <v>54</v>
      </c>
      <c r="G29" s="61"/>
      <c r="H29" s="61"/>
    </row>
    <row r="30" spans="1:8" x14ac:dyDescent="0.3">
      <c r="A30" s="61" t="s">
        <v>94</v>
      </c>
      <c r="B30" s="87">
        <v>0.6754</v>
      </c>
      <c r="C30" s="86">
        <v>669.29</v>
      </c>
      <c r="D30" s="86">
        <v>79</v>
      </c>
      <c r="E30" s="88">
        <v>5.98</v>
      </c>
      <c r="F30" s="87">
        <v>0.36620000000000003</v>
      </c>
      <c r="G30" s="61"/>
      <c r="H30" s="61"/>
    </row>
    <row r="31" spans="1:8" x14ac:dyDescent="0.3">
      <c r="A31" s="61" t="s">
        <v>97</v>
      </c>
      <c r="B31" s="87">
        <v>0.69610000000000005</v>
      </c>
      <c r="C31" s="86">
        <v>588.27</v>
      </c>
      <c r="D31" s="86">
        <v>86.96</v>
      </c>
      <c r="E31" s="88">
        <v>13.18</v>
      </c>
      <c r="F31" s="87">
        <v>0.48120000000000002</v>
      </c>
      <c r="G31" s="61"/>
      <c r="H31" s="61"/>
    </row>
    <row r="32" spans="1:8" x14ac:dyDescent="0.3">
      <c r="A32" s="61" t="s">
        <v>95</v>
      </c>
      <c r="B32" s="87">
        <v>0.20880000000000001</v>
      </c>
      <c r="C32" s="86">
        <v>227.55</v>
      </c>
      <c r="D32" s="86">
        <v>62.55</v>
      </c>
      <c r="E32" s="88">
        <v>0.74</v>
      </c>
      <c r="F32" s="87">
        <v>0.12130000000000001</v>
      </c>
      <c r="G32" s="61"/>
      <c r="H32" s="61"/>
    </row>
    <row r="33" spans="1:8" x14ac:dyDescent="0.3">
      <c r="A33" s="61" t="s">
        <v>96</v>
      </c>
      <c r="B33" s="87">
        <v>0.40310000000000001</v>
      </c>
      <c r="C33" s="86">
        <v>328.04</v>
      </c>
      <c r="D33" s="86">
        <v>69.36</v>
      </c>
      <c r="E33" s="88">
        <v>2.04</v>
      </c>
      <c r="F33" s="87">
        <v>0.1938</v>
      </c>
      <c r="G33" s="61"/>
      <c r="H33" s="61"/>
    </row>
    <row r="34" spans="1:8" x14ac:dyDescent="0.3">
      <c r="A34" s="61"/>
      <c r="B34" s="61"/>
      <c r="C34" s="61"/>
      <c r="D34" s="61"/>
      <c r="E34" s="61"/>
      <c r="F34" s="61"/>
      <c r="G34" s="61"/>
      <c r="H34" s="61"/>
    </row>
    <row r="35" spans="1:8" x14ac:dyDescent="0.3">
      <c r="A35" s="50" t="s">
        <v>71</v>
      </c>
      <c r="B35" s="61" t="s">
        <v>58</v>
      </c>
      <c r="C35" s="61" t="s">
        <v>72</v>
      </c>
      <c r="D35" s="61" t="s">
        <v>74</v>
      </c>
      <c r="E35" s="61" t="s">
        <v>73</v>
      </c>
      <c r="F35" s="61" t="s">
        <v>54</v>
      </c>
      <c r="G35" s="61"/>
      <c r="H35" s="61"/>
    </row>
    <row r="36" spans="1:8" x14ac:dyDescent="0.3">
      <c r="A36" s="61" t="s">
        <v>94</v>
      </c>
      <c r="B36" s="87">
        <v>0.6754</v>
      </c>
      <c r="C36" s="86">
        <v>378.66</v>
      </c>
      <c r="D36" s="86">
        <v>65.260000000000005</v>
      </c>
      <c r="E36" s="88">
        <v>4.51</v>
      </c>
      <c r="F36" s="87">
        <v>0.28160000000000002</v>
      </c>
      <c r="G36" s="61"/>
      <c r="H36" s="61"/>
    </row>
    <row r="37" spans="1:8" x14ac:dyDescent="0.3">
      <c r="A37" s="61" t="s">
        <v>97</v>
      </c>
      <c r="B37" s="87">
        <v>0.5222</v>
      </c>
      <c r="C37" s="86">
        <v>199.68</v>
      </c>
      <c r="D37" s="86">
        <v>75.739999999999995</v>
      </c>
      <c r="E37" s="88">
        <v>9.17</v>
      </c>
      <c r="F37" s="87">
        <v>0.3599</v>
      </c>
      <c r="G37" s="61"/>
      <c r="H37" s="61"/>
    </row>
    <row r="38" spans="1:8" x14ac:dyDescent="0.3">
      <c r="A38" s="61" t="s">
        <v>95</v>
      </c>
      <c r="B38" s="87">
        <v>9.5000000000000001E-2</v>
      </c>
      <c r="C38" s="86">
        <v>51.36</v>
      </c>
      <c r="D38" s="86">
        <v>49.62</v>
      </c>
      <c r="E38" s="88">
        <v>0.23</v>
      </c>
      <c r="F38" s="87">
        <v>3.1199999999999999E-2</v>
      </c>
      <c r="G38" s="61"/>
      <c r="H38" s="61"/>
    </row>
    <row r="39" spans="1:8" x14ac:dyDescent="0.3">
      <c r="A39" s="61" t="s">
        <v>96</v>
      </c>
      <c r="B39" s="87">
        <v>0.27100000000000002</v>
      </c>
      <c r="C39" s="86">
        <v>92.53</v>
      </c>
      <c r="D39" s="86">
        <v>54.3</v>
      </c>
      <c r="E39" s="88">
        <v>0.69</v>
      </c>
      <c r="F39" s="87">
        <v>7.0199999999999999E-2</v>
      </c>
      <c r="G39" s="61"/>
      <c r="H39" s="61"/>
    </row>
    <row r="41" spans="1:8" x14ac:dyDescent="0.3">
      <c r="B41" s="120" t="s">
        <v>48</v>
      </c>
      <c r="C41" s="121"/>
      <c r="D41" s="122"/>
      <c r="E41" s="7"/>
      <c r="F41" s="7"/>
      <c r="G41" s="7"/>
      <c r="H41" s="7"/>
    </row>
    <row r="42" spans="1:8" ht="58.5" x14ac:dyDescent="0.3">
      <c r="A42" s="88"/>
      <c r="B42" s="88" t="s">
        <v>59</v>
      </c>
      <c r="C42" s="88" t="s">
        <v>60</v>
      </c>
      <c r="D42" s="88" t="s">
        <v>61</v>
      </c>
      <c r="E42" s="89" t="s">
        <v>46</v>
      </c>
      <c r="F42" s="89" t="s">
        <v>63</v>
      </c>
      <c r="G42" s="90" t="s">
        <v>49</v>
      </c>
      <c r="H42" s="90" t="s">
        <v>50</v>
      </c>
    </row>
    <row r="43" spans="1:8" x14ac:dyDescent="0.3">
      <c r="A43" s="91" t="s">
        <v>94</v>
      </c>
      <c r="B43" s="92">
        <v>0.89</v>
      </c>
      <c r="C43" s="92">
        <v>0.06</v>
      </c>
      <c r="D43" s="92">
        <v>0.05</v>
      </c>
      <c r="E43" s="87">
        <v>0.70569999999999999</v>
      </c>
      <c r="F43" s="86">
        <v>73.42</v>
      </c>
      <c r="G43" s="87">
        <v>0.51</v>
      </c>
      <c r="H43" s="87">
        <v>0.32790000000000002</v>
      </c>
    </row>
    <row r="44" spans="1:8" x14ac:dyDescent="0.3">
      <c r="A44" s="91" t="s">
        <v>97</v>
      </c>
      <c r="B44" s="92">
        <v>0.94</v>
      </c>
      <c r="C44" s="92">
        <v>0.05</v>
      </c>
      <c r="D44" s="92">
        <v>0.01</v>
      </c>
      <c r="E44" s="87">
        <v>0.57379999999999998</v>
      </c>
      <c r="F44" s="86">
        <v>80.05</v>
      </c>
      <c r="G44" s="87">
        <v>0.33040000000000003</v>
      </c>
      <c r="H44" s="87">
        <v>0.39639999999999997</v>
      </c>
    </row>
    <row r="45" spans="1:8" x14ac:dyDescent="0.3">
      <c r="A45" s="91" t="s">
        <v>95</v>
      </c>
      <c r="B45" s="92">
        <v>0.33</v>
      </c>
      <c r="C45" s="92">
        <v>0.14000000000000001</v>
      </c>
      <c r="D45" s="92">
        <v>0.53</v>
      </c>
      <c r="E45" s="87">
        <v>0.1119</v>
      </c>
      <c r="F45" s="86">
        <v>54.96</v>
      </c>
      <c r="G45" s="87">
        <v>0.2366</v>
      </c>
      <c r="H45" s="87">
        <v>4.02E-2</v>
      </c>
    </row>
    <row r="46" spans="1:8" x14ac:dyDescent="0.3">
      <c r="A46" s="91" t="s">
        <v>96</v>
      </c>
      <c r="B46" s="92">
        <v>0.84</v>
      </c>
      <c r="C46" s="92">
        <v>0.03</v>
      </c>
      <c r="D46" s="92">
        <v>0.13</v>
      </c>
      <c r="E46" s="87">
        <v>0.3034</v>
      </c>
      <c r="F46" s="86">
        <v>62.02</v>
      </c>
      <c r="G46" s="87">
        <v>0.23880000000000001</v>
      </c>
      <c r="H46" s="87">
        <v>9.1300000000000006E-2</v>
      </c>
    </row>
  </sheetData>
  <mergeCells count="1">
    <mergeCell ref="B41:D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TR Performance by event data an</vt:lpstr>
      <vt:lpstr>Client Data - Event Level</vt:lpstr>
      <vt:lpstr>Event Benchmark Comparison </vt:lpstr>
      <vt:lpstr>Client Data - Participant Level</vt:lpstr>
      <vt:lpstr>Participant Benchmark Compariso</vt:lpstr>
      <vt:lpstr>Benchmark Tables</vt:lpstr>
      <vt:lpstr>Donors</vt:lpstr>
      <vt:lpstr>IND</vt:lpstr>
      <vt:lpstr>NP</vt:lpstr>
      <vt:lpstr>RIND</vt:lpstr>
      <vt:lpstr>table1</vt:lpstr>
      <vt:lpstr>TC</vt:lpstr>
      <vt:lpstr>TM</vt:lpstr>
      <vt:lpstr>TRtypes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Seale</dc:creator>
  <cp:lastModifiedBy>kate.seale</cp:lastModifiedBy>
  <dcterms:created xsi:type="dcterms:W3CDTF">2014-06-13T21:15:37Z</dcterms:created>
  <dcterms:modified xsi:type="dcterms:W3CDTF">2014-06-19T16:10:49Z</dcterms:modified>
</cp:coreProperties>
</file>